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8075" windowHeight="9900" activeTab="0"/>
  </bookViews>
  <sheets>
    <sheet name="Відібрано записів - 1665" sheetId="1" r:id="rId1"/>
    <sheet name="Фільтри" sheetId="2" r:id="rId2"/>
  </sheets>
  <definedNames>
    <definedName name="_firstRow">'Відібрано записів - 1665'!$G$5</definedName>
    <definedName name="_lastColumn">'Відібрано записів - 1665'!$G$6</definedName>
    <definedName name="_xlnm._FilterDatabase" localSheetId="0" hidden="1">'Відібрано записів - 1665'!$B$1:$F$1667</definedName>
    <definedName name="hl_0">'Відібрано записів - 1665'!$G$8</definedName>
    <definedName name="hn_0">'Відібрано записів - 1665'!$G$9</definedName>
  </definedNames>
  <calcPr fullCalcOnLoad="1"/>
</workbook>
</file>

<file path=xl/sharedStrings.xml><?xml version="1.0" encoding="utf-8"?>
<sst xmlns="http://schemas.openxmlformats.org/spreadsheetml/2006/main" count="6674" uniqueCount="1605">
  <si>
    <t>Порівняння</t>
  </si>
  <si>
    <t>Назва фільтру</t>
  </si>
  <si>
    <t>Перше значення</t>
  </si>
  <si>
    <t>Друге значення</t>
  </si>
  <si>
    <t>ОВ</t>
  </si>
  <si>
    <t>Заробітна плата / Оперативні вакансії</t>
  </si>
  <si>
    <t>Посада (назва) / Характеристика вакансії</t>
  </si>
  <si>
    <t>Місце проведення робіт / Оперативні вакансії</t>
  </si>
  <si>
    <t>ЦЗ реєстрації (назва) / Оперативні вакансії</t>
  </si>
  <si>
    <t>http://10.1.0.164/dczeias/Lnk.aspx?t=VACCard&amp;k=FormSearch&amp;c=Edit&amp;n.ID={0}&amp;n.IsVacID=1&amp;Excel=1</t>
  </si>
  <si>
    <t>сортувальник у виробництві харчової продукції (плоди, овочі та подібні продукти)</t>
  </si>
  <si>
    <t xml:space="preserve"> Очищує від бруду та механічних домішок.
</t>
  </si>
  <si>
    <t>0722883701, Волинська область, Луцький район, Княгининок</t>
  </si>
  <si>
    <t>Сортування та перебирання ягід</t>
  </si>
  <si>
    <t>0724510100, Волинська область, Рожищенський район, Рожище</t>
  </si>
  <si>
    <t xml:space="preserve">   . сортування та перебирання ягід</t>
  </si>
  <si>
    <t>0710100000, Волинська область, Луцьк</t>
  </si>
  <si>
    <t>оператор сушильних установок</t>
  </si>
  <si>
    <t>оператор КЗС.  Сушка і очистка зерна. Фізично витривалі працівники.</t>
  </si>
  <si>
    <t>контролер деревообробного виробництва</t>
  </si>
  <si>
    <t>0710400000, Волинська область, Ковель</t>
  </si>
  <si>
    <t>столяр</t>
  </si>
  <si>
    <t>0710700000, Волинська область, Нововолинськ</t>
  </si>
  <si>
    <t>0710200000, Волинська область, Володимир-Волинський</t>
  </si>
  <si>
    <t>0721155100, Волинська область, Іваничівський район, Іваничі</t>
  </si>
  <si>
    <t>Виготовлення столярних виробів відповідно
замовлень клієнтів</t>
  </si>
  <si>
    <t>верстатник деревообробних верстатів</t>
  </si>
  <si>
    <t>розпилювання рейок, порізка брусків, фрезерування рейки, модуля. Можливе навчання професії на виробництві.</t>
  </si>
  <si>
    <t>0723655400, Волинська область, Маневицький район, Колки</t>
  </si>
  <si>
    <t>0723685501, Волинська область, Маневицький район, Прилісне</t>
  </si>
  <si>
    <t>Приймає деталі для обробки на деревообробних верстатах, укладає деталі на підстопне місце, встановлює різальний інструмент, здійснює стругання деталей і профілювання заготовок на стругальних верстатах, брускових деталей на однобічних рейсмусових верстатах.</t>
  </si>
  <si>
    <t>апаратник з приготування майонезу</t>
  </si>
  <si>
    <t>/Веде процес приготування майонезу, соусів, гірчиці. Подає згідно з заданою рецептурою і встановленою послідовністю з бачків і дозаторів у змішувач насосами по трубопроводах пасту, рафіновану і дезодоровану олії, розчини і спеції. Регулює швидкість подачі компонентів і перемішування їх у змішувачі. Контролює якість сировини, що надходить у виробництво, приготування розчинів і пасти./</t>
  </si>
  <si>
    <t>0722855400, Волинська область, Луцький район, Торчин</t>
  </si>
  <si>
    <t>слюсар з експлуатації та ремонту підземнихгазопроводів</t>
  </si>
  <si>
    <t>Виконувати обхід трас газопроводів згідно затверджених маршрутів, виконувати роботи з профілактичного обслуговування та поточних ремонтів газових мереж та споруд на них, дотримуватись правил техніки безпеки.</t>
  </si>
  <si>
    <t>0721810100, Волинська область, Ківерцівський район, Ківерці</t>
  </si>
  <si>
    <t>0720810100, Волинська область, Горохівський район, Горохів</t>
  </si>
  <si>
    <t>0724255100, Волинська область, Ратнівський район, Ратне</t>
  </si>
  <si>
    <t>слюсар-сантехнік</t>
  </si>
  <si>
    <t>0722481201, Волинська область, Локачинський район, Війниця</t>
  </si>
  <si>
    <t>Ремонтує, монтує вузли сан.технічних систем центрального опалення, водопостачання, каналізації.</t>
  </si>
  <si>
    <t>0722884803, Волинська область, Луцький район, Струмівка</t>
  </si>
  <si>
    <t xml:space="preserve">Здійснювати основні прийоми виконання робіт з розбирання, ремонту і складання простих складових одиниць і механізмів устаткування і машин; призначення і правила застосування слюсарного і контрольно-вимірювальних інструментів; основні механічні властивості оброблюваних матеріалів; основи знань про систему допусків і посадок, квалитети і параметри шорсткості; найменування, маркування і правила застосування мастил, металів і миючих засобів. </t>
  </si>
  <si>
    <t>0723310100, Волинська область, Любомльський район, Любомль</t>
  </si>
  <si>
    <t>0723655100, Волинська область, Маневицький район, Маневичі</t>
  </si>
  <si>
    <t>контролер газового господарства</t>
  </si>
  <si>
    <t>контроль і збір показників лічильників газу, складання звітності</t>
  </si>
  <si>
    <t>електромонтажник з освітлення та освітлювальних мереж</t>
  </si>
  <si>
    <t>електрозварник на автоматичних та напівавтоматичних машинах</t>
  </si>
  <si>
    <t>0724587201, Волинська область, Рожищенський район, Щурин</t>
  </si>
  <si>
    <t>бляхар</t>
  </si>
  <si>
    <t>Виготовлення стічних ринв із бляхи по заданих розмірах</t>
  </si>
  <si>
    <t>Виконання робіт по виготовленню виробів із листового нержавіючого металу, та виготовлення каркасних металевих конструкцій (стелажі, столи і т.п.) із нержавіючої сталі та чорного металу.
— наявність досвіду роботи зі зварювальним напівавтоматом буде додатковою перевагою та плюсом до зарплати. Оклад + % (до 12000,00 грн.)</t>
  </si>
  <si>
    <t>рихтувальник кузовів</t>
  </si>
  <si>
    <t>рихтування кузовів автотранспортних засобів (зачистка, шліфовка);
робота на станції технічного обслуговування в ПАТ "Волинь-Авто" по вул.Рівненській, 145</t>
  </si>
  <si>
    <t>машиніст мийних машин</t>
  </si>
  <si>
    <t>обслуговування транспортних засобів на СТО, миття кузова та салону автомобіля з використанням мийних засобів; робота на станції технічного обслуговування в ПАТ "Волинь-Авто" по вул.Рівненській, 145</t>
  </si>
  <si>
    <t>монтажник систем вентиляції, кондиціювання повітря, пневмотранспорту й аспірації</t>
  </si>
  <si>
    <t>слюсар аварійно-відбудовних робіт</t>
  </si>
  <si>
    <t>ремонт систем водопостачання та водовідведення</t>
  </si>
  <si>
    <t>0723155100, Волинська область, Любешівський район, Любешів</t>
  </si>
  <si>
    <t>слюсар аварійно-ремонтних робіт водопровідних,  дотримання режиму підприємства та техніки безпеки</t>
  </si>
  <si>
    <t>слюсар з механоскладальних робіт</t>
  </si>
  <si>
    <t>0722155700, Волинська область, Ковельський район, Люблинець</t>
  </si>
  <si>
    <t xml:space="preserve"> Графік роботи позмінний, І-зміна з 08:00 до 20:00; ІІ -зміна з 20:00 до 08:00. Вихідні плаваючі, працюють 2/2, тобто І зміна потім ІІ зміна та 2 дні вихідні.</t>
  </si>
  <si>
    <t>вміння працювати з електроінструментом, графік роботи з 8.00 до 20.00, та з 20.00 до 8.00, 2 через 2 дні</t>
  </si>
  <si>
    <t>слюсар з ремонту та обслуговування систем вентиляції та кондиціювання</t>
  </si>
  <si>
    <t>слюсар з ремонту рухомого складу</t>
  </si>
  <si>
    <t>слюсар з ремонту сільськогосподарських машин та устаткування</t>
  </si>
  <si>
    <t>0722484601, Волинська область, Локачинський район, Привітне</t>
  </si>
  <si>
    <t>слюсар з експлуатації та ремонту газового устаткування</t>
  </si>
  <si>
    <t>виконує планове технічне обслуговування та планову перевірку щільності побутових газвих плит, лічильників газу, лабораторних пальників, пальників інфрачервоного випромінвання та інше</t>
  </si>
  <si>
    <t>оператор заправних станцій</t>
  </si>
  <si>
    <t>5110100000, Одеська область, Одеса</t>
  </si>
  <si>
    <t>8036600000, М.Київ, Дніпровський</t>
  </si>
  <si>
    <t>0725555400, Волинська область, Турійський район, Луків</t>
  </si>
  <si>
    <t>5110300000, Одеська область, Білгород-Дністровський</t>
  </si>
  <si>
    <t xml:space="preserve">обслуговування клієнтів на заправній станції. Відпуск палива, прийняття документів на товари, робота  з касовим апаратом, інкасація коштів. </t>
  </si>
  <si>
    <t>0722883401, Волинська область, Луцький район, Липини</t>
  </si>
  <si>
    <t>помічник оператора заправних станцій (пістолетник), допомога водіям у заправці автомобілі. Підтримує порядок на АЗС.
робота в с. Липини, вул. Окружна, 32, навпроти "Епіцентру"</t>
  </si>
  <si>
    <t>Обслуговування клієнтів помічник оператора, а саме: відпуск нафтопродуктів, супутніх товарів та продуктів швидкого приготування. Приймання грошових коштів.  Приготування продуктів швидкого харчування із дотриманням технології (технологічних карт) та рецептури приготування продукції. з касовою системою.Волинська обл, смт.Любешів, вул.Незалежності,2 (АЗС№01-06).</t>
  </si>
  <si>
    <t>Обслуговування клієнтів помічник оператора, а саме: відпуск нафтопродуктів, супутніх товарів та продуктів швидкого приготування. Приймання грошових коштів.  Приготування продуктів швидкого харчування із дотриманням технології (технологічних карт) та рецептури приготування продукції. з касовою системою. м.Київ, вул.Народного ополчення, 11 (АЗС № 09-51)</t>
  </si>
  <si>
    <t>8038900000, М.Київ, Солом'янський</t>
  </si>
  <si>
    <t>5121083901, Одеська область, Біляївський район, Маяки</t>
  </si>
  <si>
    <t xml:space="preserve">/Робота оператора заправних станцій. Здійснювати заправку автомобілів. Прибирати проливи нафтопродукту та масляні плями з твердого покриття на території АЗК. Слідкувати за справністю стану ПРК, паливно-роздавальних кранів та іншого інвентарю. Підтримувати робоче місце та закріплену за ним територію в належному санітарному стані.
Львівська обл., Яворівський р-н, м.Новояворівськ, вул.Львівська,2(АЗС № 11-06)
</t>
  </si>
  <si>
    <t>4625810500, Львівська область, Яворівський район, Новояворівськ</t>
  </si>
  <si>
    <t>4823955100, Миколаївська область, Кривоозерський район, Криве Озеро</t>
  </si>
  <si>
    <t>5324885405, Полтавська область, Хорольський район, Глибока Долина</t>
  </si>
  <si>
    <t>5121085201, Одеська область, Біляївський район, Усатове</t>
  </si>
  <si>
    <t>6121210100, Тернопільська область, Бучацький район, Бучач</t>
  </si>
  <si>
    <t>8038000000, М.Київ, Оболонський</t>
  </si>
  <si>
    <t>/ Помічник оператора заправних станцій: заправка автомобілів паливом через паливо-роздавальні колонки АЗК; активні продажі палива, сезонних товарів та додаткових послуг АЗК; забезпечення чистоти території та дбайливої експлуатації обладнання АЗК. Бажано місце проживання поблизу об'єкту.
Адреса: м. Запоріжжя, вул. Зразкова, 2-Б</t>
  </si>
  <si>
    <t>2310136600, Запорізька область, Запоріжжя, Заводський</t>
  </si>
  <si>
    <t>8036100000, М.Київ, Голосіївський</t>
  </si>
  <si>
    <t>5121084201, Одеська область, Біляївський район, Нерубайське</t>
  </si>
  <si>
    <t>/ Активні продажі (паливо, товари магазину, продукція зони кафе), швидкий і точний розрахунок за касою; приготування фаст-фуду; викладка товарів у торговому залі, контроль за правильним збереженням і термінами придатності продуктів, відповідністю цінників; забезпечення чистоти та порядку у торговому залі. Бажано місце проживання поблизу об'єкту.
Адреса: Дніпропетровська обл., Дніпровський р-н, с. Дороге, вул. Миколаївська, 191а</t>
  </si>
  <si>
    <t>1221486204, Дніпропетровська область, Дніпровський район, Дороге</t>
  </si>
  <si>
    <t>/ Помічник оператора заправних станцій: заправка автомобілів паливом через паливо-роздавальні колонки АЗК; активні продажі палива, сезонних товарів та додаткових послуг АЗК; забезпечення чистоти території та дбайливої експлуатації обладнання АЗК. Бажано місце проживання поблизу об'єкту.
Адреса: Хмельницька обл. м. Хмельницький вул. Староконстантинівське шосе 2/1 (АЗС №24-15)</t>
  </si>
  <si>
    <t>6810100000, Хмельницька область, Хмельницький</t>
  </si>
  <si>
    <t>/ Помічник оператора заправних станцій: заправка автомобілів паливом через паливо-роздавальні колонки АЗК; активні продажі палива, сезонних товарів та додаткових послуг АЗК; забезпечення чистоти території та дбайливої експлуатації обладнання АЗК. Бажано місце проживання поблизу об'єкту.
Адреса: Вінницька обл.,Вінницький р-н, с. Зарванці вул. Молодіжна, 29 (АЗС №02-03)</t>
  </si>
  <si>
    <t>0520688906, Вінницька область, Вінницький район, Зарванці</t>
  </si>
  <si>
    <t>5111700000, Одеська область, Южне</t>
  </si>
  <si>
    <t xml:space="preserve">/Робота оператора заправних станцій. Здійснювати заправку автомобілів. Прибирати проливи нафтопродукту та масляні плями з твердого покриття на території АЗК. Слідкувати за справністю стану ПРК, паливно-роздавальних кранів та іншого інвентарю. Підтримувати робоче місце та закріплену за ним територію в належному санітарному стані.
Івано-Франківська обл., Косівський р-н, с.Смодна, вул.Незалежності,44а(АЗС № 05-12)
</t>
  </si>
  <si>
    <t>2623685801, Івано-Франківська область, Косівський район, Смодна</t>
  </si>
  <si>
    <t>4824280401, Миколаївська область, Миколаївський район, Весняне</t>
  </si>
  <si>
    <t>/Обслуговування клієнтів помічник оператора, а саме: відпуск нафтопродуктів, супутніх товарів та продуктів швидкого приготування. Приймання грошових коштів.  Приготування продуктів швидкого харчування із дотриманням технології (технологічних карт) та рецептури приготування продукції. з касовою системою. Івано-Франківська обл., Долинський р-н, смт. Вигода, вул.Д.Галицького,12(АЗС№05-03).</t>
  </si>
  <si>
    <t>2622055300, Івано-Франківська область, Долинський район, Вигода</t>
  </si>
  <si>
    <t>3221483001, Київська область, Васильківський район, Здорівка</t>
  </si>
  <si>
    <t>/ Помічник оператора заправних станцій: заправка автомобілів паливом через паливо-роздавальні колонки АЗК; активні продажі палива, сезонних товарів та додаткових послуг АЗК; забезпечення чистоти території та дбайливої експлуатації обладнання АЗК. Бажано місце проживання поблизу об'єкту.
Адреса: Закарпатська обл. Ужгородський р-н с. Розівка вул. Свободи, 29 (06-12)</t>
  </si>
  <si>
    <t>2124887404, Закарпатська область, Ужгородський район, Розівка</t>
  </si>
  <si>
    <t>5110600000, Одеська область, Ізмаїл</t>
  </si>
  <si>
    <t>8038600000, М.Київ, Святошинський</t>
  </si>
  <si>
    <t>6125281701, Тернопільська область, Тернопільський район, Великі Гаї</t>
  </si>
  <si>
    <t>6325157900, Харківська область, Харківський район, Пісочин</t>
  </si>
  <si>
    <t>1221486205, Дніпропетровська область, Дніпровський район, Дослідне</t>
  </si>
  <si>
    <t>4810137200, Миколаївська область, Миколаїв, Центральний</t>
  </si>
  <si>
    <t xml:space="preserve">/Робота оператора заправних станцій. Здійснювати заправку автомобілів. Прибирати проливи нафтопродукту та масляні плями з твердого покриття на території АЗК. Слідкувати за справністю стану ПРК, паливно-роздавальних кранів та іншого інвентарю. Підтримувати робоче місце та закріплену за ним територію в належному санітарному стані. м. Київ, пр-т. Генерала Ватутіна, 3 (09-08).
  .
</t>
  </si>
  <si>
    <t>/Обслуговування клієнтів помічник оператора, а саме: відпуск нафтопродуктів, супутніх товарів та продуктів швидкого приготування. Приймання грошових коштів.  Приготування продуктів швидкого харчування із дотриманням технології (технологічних карт) та рецептури приготування продукції. з касовою системою. Львівська обл., м. Львів, вул. Луганська, буд. б/н  /  вул.  Стрийська ,  буд. б/н (АЗС 11-15).</t>
  </si>
  <si>
    <t>4610100000, Львівська область, Львів</t>
  </si>
  <si>
    <t xml:space="preserve">Робота оператора заправних станцій. Здійснювати заправку автомобілів. Прибирати проливи нафтопродукту та масляні плями з твердого покриття на території АЗК. Слідкувати за справністю стану ПРК, паливно-роздавальних кранів та іншого інвентарю. Підтримувати робоче місце та закріплену за ним територію в належному санітарному стані.Запорізька обл., апорізький р., смт Балабине, вул. Українська, буд. 2 д (АЗС 07-04).
</t>
  </si>
  <si>
    <t>2322155300, Запорізька область, Запорізький район, Балабине</t>
  </si>
  <si>
    <t>8039100000, М.Київ, Шевченківський</t>
  </si>
  <si>
    <t xml:space="preserve">/Обслуговування клієнтів помічник оператора, а саме: відпуск нафтопродуктів, супутніх товарів та продуктів швидкого приготування. Приймання грошових коштів.  Приготування продуктів швидкого харчування із дотриманням технології (технологічних карт) та рецептури приготування продукції. з касовою системою.  Закарпатська обл.,  м.Ужгород, вул. Перемоги,(Капушанська)152/2   (АЗС № 06-01),
</t>
  </si>
  <si>
    <t>2110100000, Закарпатська область, Ужгород</t>
  </si>
  <si>
    <t xml:space="preserve">Робота оператора заправних станцій. Здійснювати заправку автомобілів. Прибирати проливи нафтопродукту та масляні плями з твердого покриття на території АЗК. Слідкувати за справністю стану ПРК, паливно-роздавальних кранів та іншого інвентарю. Підтримувати робоче місце та закріплену за ним територію в належному санітарному стані.Дніпропетровська обл., Дніпровський р-н., смт. Слобожанське,вул.Бабанка,8  АЗС (04-21).
</t>
  </si>
  <si>
    <t>1221455800, Дніпропетровська область, Дніпровський район, Слобожанське</t>
  </si>
  <si>
    <t>1210138400, Дніпропетровська область, Дніпро, Самарський</t>
  </si>
  <si>
    <t>5122782603, Одеська область, Лиманський район, Корсунці</t>
  </si>
  <si>
    <t>8036400000, М.Київ, Деснянський</t>
  </si>
  <si>
    <t>1822084101, Житомирська область, Житомирський район, Левків</t>
  </si>
  <si>
    <t xml:space="preserve">Робота оператора заправних станцій. Здійснювати заправку автомобілів. Прибирати проливи нафтопродукту та масляні плями з твердого покриття на території АЗК. Слідкувати за справністю стану ПРК, паливно-роздавальних кранів та іншого інвентарю. Підтримувати робоче місце та закріплену за ним територію в належному санітарному стані.Харківський р., Пісочинська с/р, а/д Київ - Харків, Довжанський, км. 464-850 (ліворуч) (АЗС № 19-11).
</t>
  </si>
  <si>
    <t>3221810100, Київська область, Вишгородський район, Вишгород</t>
  </si>
  <si>
    <t>1220387708, Дніпропетровська область, Апостолівський район, Зоряне</t>
  </si>
  <si>
    <t>6322083001, Харківська область, Дергачівський район, Черкаська Лозова</t>
  </si>
  <si>
    <t>Обслуговування клієнтів помічник оператора, а саме: відпуск нафтопродуктів, супутніх товарів та продуктів швидкого приготування. Приймання грошових коштів.  Приготування продуктів швидкого харчування із дотриманням технології (технологічних карт) та рецептури приготування продукції. з касовою системою.Вінницька обл, Жмеринcький р-н, с.Коростівці, вул.Шевченка, 1а, перехрестя автомобільних доріг Виступовичи - Овруч - Могилів-Подільський  (км 346+200 ліворуч) (АЗС№02-01).</t>
  </si>
  <si>
    <t>0521083003, Вінницька область, Жмеринський район, Коростівці</t>
  </si>
  <si>
    <t>0523010100, Вінницька область, Немирівський район, Немирів</t>
  </si>
  <si>
    <t>2123655500, Закарпатська область, Рахівський район, Великий Бичків</t>
  </si>
  <si>
    <t>5624680701, Рівненська область, Рівненський район, Біла Криниця</t>
  </si>
  <si>
    <t>2320910100, Запорізька область, Василівський район, Василівка</t>
  </si>
  <si>
    <t>5110137500, Одеська область, Одеса, Приморський</t>
  </si>
  <si>
    <t>4623686601, Львівська область, Пустомитівський район, Солонка</t>
  </si>
  <si>
    <t>2310137300, Запорізька область, Запоріжжя, Хортицький</t>
  </si>
  <si>
    <t>5621685601, Рівненська область, Дубенський район, Привільне</t>
  </si>
  <si>
    <t>5323810100, Полтавська область, Пирятинський район, Пирятин</t>
  </si>
  <si>
    <t>2310137200, Запорізька область, Запоріжжя, ВОЗНЕСЕНІВСЬКИЙ</t>
  </si>
  <si>
    <t>1824084001, Житомирська область, Новоград-Волинський район, Нова Романівка</t>
  </si>
  <si>
    <t>7321085401, Чернівецька область, Глибоцький район, Тереблече</t>
  </si>
  <si>
    <t>1822082001, Житомирська область, Житомирський район, Глибочиця</t>
  </si>
  <si>
    <t>5324085203, Полтавська область, Полтавський район, Говтвянчик</t>
  </si>
  <si>
    <t>4625887501, Львівська область, Яворівський район, Рясне-Руське</t>
  </si>
  <si>
    <t>5910100000, Сумська область, Суми</t>
  </si>
  <si>
    <t>1811000000, Житомирська область, Новоград-Волинський</t>
  </si>
  <si>
    <t>2111000000, Закарпатська область, Чоп</t>
  </si>
  <si>
    <t>5123182500, Одеська область, Окнянський район, МАЯКІВСЬКА/С.МАЯКИ</t>
  </si>
  <si>
    <t>5310400000, Полтавська область, Кременчук</t>
  </si>
  <si>
    <t>6825089601, Хмельницька область, Хмельницький район, Шаровечка</t>
  </si>
  <si>
    <t>1810700000, Житомирська область, Коростень</t>
  </si>
  <si>
    <t>8036300000, М.Київ, Дарницький</t>
  </si>
  <si>
    <t>6823055100, Хмельницька область, Летичівський район, Летичів</t>
  </si>
  <si>
    <t>2310136700, Запорізька область, Запоріжжя, Комунарський</t>
  </si>
  <si>
    <t>4622710200, Львівська область, Жовківський район, Дубляни</t>
  </si>
  <si>
    <t>5321810100, Полтавська область, Кобеляцький район, Кобеляки</t>
  </si>
  <si>
    <t>6823655400, Хмельницька область, Полонський район, Понінка</t>
  </si>
  <si>
    <t>3222457400, Київська область, Києво-Святошинський район, Чабани</t>
  </si>
  <si>
    <t>2610100000, Івано-Франківська область, Івано-Франківськ</t>
  </si>
  <si>
    <t>6310100000, Харківська область, Харків</t>
  </si>
  <si>
    <t>0520681003, Вінницька область, Вінницький район, Вінницькі Хутори</t>
  </si>
  <si>
    <t>1223587505, Дніпропетровська область, Павлоградський район, Привовчанське</t>
  </si>
  <si>
    <t>1210136900, Дніпропетровська область, Дніпро, Соборний</t>
  </si>
  <si>
    <t>7310100000, Чернівецька область, Чернівці</t>
  </si>
  <si>
    <t>5110136900, Одеська область, Одеса, Київський</t>
  </si>
  <si>
    <t>1810100000, Житомирська область, Житомир</t>
  </si>
  <si>
    <t>4810136600, Миколаївська область, Миколаїв, Корабельний</t>
  </si>
  <si>
    <t>5110137300, Одеська область, Одеса, Малинівський</t>
  </si>
  <si>
    <t>3224410100, Київська область, Таращанський район, Тараща</t>
  </si>
  <si>
    <t>2122755500, Закарпатська область, Мукачівський район, Чинадійово</t>
  </si>
  <si>
    <t>2620488602, Івано-Франківська область, Богородчанський район, Скобичівка</t>
  </si>
  <si>
    <t>6825087201, Хмельницька область, Хмельницький район, Розсоша</t>
  </si>
  <si>
    <t>6525010100, Херсонська область, Олешківський район, Олешки</t>
  </si>
  <si>
    <t>6124684701, Тернопільська область, Підволочиський район, Мислова</t>
  </si>
  <si>
    <t>1822382402, Житомирська область, Коростенський район, Клочеве</t>
  </si>
  <si>
    <t>4610136600, Львівська область, Львів, Галицький</t>
  </si>
  <si>
    <t>2625888601, Івано-Франківська область, Тисменицький район, Ямниця</t>
  </si>
  <si>
    <t xml:space="preserve">/Робота оператора заправних станцій. Здійснювати заправку автомобілів. Прибирати проливи нафтопродукту та масляні плями з твердого покриття на території АЗК. Слідкувати за справністю стану ПРК, паливно-роздавальних кранів та іншого інвентарю. Підтримувати робоче місце та закріплену за ним територію в належному санітарному стані.Одеська область, Біляївський р-н, с/р Усатівська, автодорога Київ - Одеса 462 км+325м (АЗС № 14-03).
</t>
  </si>
  <si>
    <t>5121084203, Одеська область, Біляївський район, Усатове</t>
  </si>
  <si>
    <t>5110137600, Одеська область, Одеса, Суворівський</t>
  </si>
  <si>
    <t>1223581801, Дніпропетровська область, Павлоградський район, Богуслав</t>
  </si>
  <si>
    <t>1210137200, Дніпропетровська область, Дніпро, Індустріальний</t>
  </si>
  <si>
    <t>7422083301, Чернігівська область, Козелецький район, Кіпті</t>
  </si>
  <si>
    <t>4622410100, Львівська область, Мостиський район, Мостиська</t>
  </si>
  <si>
    <t>8038500000, М.Київ, Подільський</t>
  </si>
  <si>
    <t>1223281505, Дніпропетровська область, Новомосковський район, Хащеве</t>
  </si>
  <si>
    <t>5310100000, Полтавська область, Полтава</t>
  </si>
  <si>
    <t>2623286001, Івано-Франківська область, Коломийський район, Раківчик</t>
  </si>
  <si>
    <t>6110700000, Тернопільська область, Кременець</t>
  </si>
  <si>
    <t>4622182605, Львівська область, Кам'янка-Бузький район, Сапіжанка</t>
  </si>
  <si>
    <t>6824785002, Хмельницька область, Теофіпольський район, Коров'є</t>
  </si>
  <si>
    <t>6120810100, Тернопільська область, Борщівський район, Борщів</t>
  </si>
  <si>
    <t>2323084001, Запорізька область, Мелітопольський район, Семенівка</t>
  </si>
  <si>
    <t>4625382001, Львівська область, Стрийський район, Дуліби</t>
  </si>
  <si>
    <t>0720882801, Волинська область, Горохівський район, Колодеже</t>
  </si>
  <si>
    <t>4810136300, Миколаївська область, Миколаїв, Заводський</t>
  </si>
  <si>
    <t>5621681201, Рівненська область, Дубенський район, Верба</t>
  </si>
  <si>
    <t>6123810100, Тернопільська область, Ланівецький район, Ланівці</t>
  </si>
  <si>
    <t>1211900000, Дніпропетровська область, Новомосковськ</t>
  </si>
  <si>
    <t>1822082501, Житомирська область, Житомирський район, Зарічани</t>
  </si>
  <si>
    <t>6323385501, Харківська область, Красноградський район, Піщанка</t>
  </si>
  <si>
    <t xml:space="preserve">/Обслуговування клієнтів помічник оператора, а саме: відпуск нафтопродуктів, супутніх товарів та продуктів швидкого приготування. Приймання грошових коштів.  Приготування продуктів швидкого харчування із дотриманням технології (технологічних карт) та рецептури приготування продукції. з касовою системою. Запорізька обл., м. Запоріжжя, вул. Стартова, буд. 5 б (АЗС 07-07).
</t>
  </si>
  <si>
    <t>5324085201, Полтавська область, Полтавський район, Супрунівка</t>
  </si>
  <si>
    <t>комплектувальник</t>
  </si>
  <si>
    <t>комплектування запасних частин згідно накладних до автомобільної техніки, знання будови автомобіля</t>
  </si>
  <si>
    <t>кравець</t>
  </si>
  <si>
    <t xml:space="preserve">Знання технології пошиття та крою одягу (досвід роботи в ател'є),  робота в майстерні за адресою м.Луцьк </t>
  </si>
  <si>
    <t>закрійник</t>
  </si>
  <si>
    <t>знання технології пошиття та крою одягу (досвід роботи в ател'є),  робота в майстерні за адресою м.Луцьк</t>
  </si>
  <si>
    <t xml:space="preserve">..  розкрій тканин за лекалами </t>
  </si>
  <si>
    <t>кухар</t>
  </si>
  <si>
    <t>приготування їжі згідно з технологією приготування, обслуго­вування учнів у їдальні під час перерв.</t>
  </si>
  <si>
    <t>/Готувати страви та кулінарні вироби масового попиту із застосуванням різних способів теплової кулінарної обробки. Працювати в ресторані "Маяк", працювати 5 днів, 5 днів - вихідні. Графік роботи: з 9-00 до 23-00. /
Інформація за телефоном (03342)35644, Опейда Галина Михайлівна</t>
  </si>
  <si>
    <t xml:space="preserve">Здійснювати допоміжні роботи з виготовлення страв та кулінарних виробів. Формувати та панірувати напівфабрикати. Готувати страви та кулінарні вироби, які потребують нескладної кулінарної обробки: варить, смажить, запікає та випікає вироби. </t>
  </si>
  <si>
    <t>0720887401, Волинська область, Горохівський район, Скобелка</t>
  </si>
  <si>
    <t xml:space="preserve"> /Знання технології приготування страв. Дотримання вимог санітарної гігієни.</t>
  </si>
  <si>
    <t>приготування основних та допоміжних страв, робота на кухні</t>
  </si>
  <si>
    <t>приготування перших та других страв кафе "Тераса"</t>
  </si>
  <si>
    <t>0723186301, Волинська область, Любешівський район, Любешівська Воля (видалений)</t>
  </si>
  <si>
    <t>Приготування перших та других страв</t>
  </si>
  <si>
    <t>/Приготування гарячих та холодних страв</t>
  </si>
  <si>
    <t>0723382401, Волинська область, Любомльський район, Куснища (видалений)</t>
  </si>
  <si>
    <t>/Приготування страв для продажу у відділі кулінарії супермаркету "Наш Край"</t>
  </si>
  <si>
    <t xml:space="preserve">Приготування піцци та інших страв в піццерії "Тарантелла" </t>
  </si>
  <si>
    <t>/Уміння проводити процеси первинної кулінарної обробки сировини. Здійснювати допоміжні роботи з виготовлення страв та кулінарних виробів. Формувати та панірувати напівфабрикати. Готувати страви та кулінарні вироби, які потребують нескладної кулінарної обробки: варить, смажить, запікає та випікає вироби. Виготовляти страви з концентратів. Порціонувати (комплектувати), роздавати страви масового попиту/</t>
  </si>
  <si>
    <t>0725755100, Волинська область, Шацький район, Шацьк</t>
  </si>
  <si>
    <t>знання технології приготування  страв традиційної кухні.</t>
  </si>
  <si>
    <t>графік роботи з 600 до 15,00 або з 12,00 до 17,00, знання технології приготування страв для дітей, дотримання правил особистої гігієни</t>
  </si>
  <si>
    <t>Приготування холодних та гарячих  страв, оформлення блюд перед подачею, контроль за термінами придатності, замовлення продуктів. Робота у кафе "Гостинний двір", графік роботи: тиждень через тиждень. З/п + премії</t>
  </si>
  <si>
    <t xml:space="preserve"> .  Приготування гарячих та холодних страв, дотримання технологій приготування.
</t>
  </si>
  <si>
    <t>приготування страв на мангалі в кафе "У Поплавського"(центрацьний парк ім.Лесі Українки).</t>
  </si>
  <si>
    <t>кухар на шведський стіл. Приготування сніданків в готелі.</t>
  </si>
  <si>
    <t>Приготування перших та других страв
Місце проведення робіт м. Луцьк вул. Потебні бар "Хортиця"</t>
  </si>
  <si>
    <t xml:space="preserve">25.03.2020 року 15.32 год. тимчасово припинено набір персоналу на час карантину
виготовлення холодних та гарячих страв згідно калькуляції; контроль якості та наявності товару; участь в інвентаризації; забезпечення санітарних вимог.;
супермаркет "Наш Край" м. Сміла вул. Чорновола, 4а; 
</t>
  </si>
  <si>
    <t>7110500000, Черкаська область, Сміла</t>
  </si>
  <si>
    <t xml:space="preserve">Приготування гарячих та холодних страв. Режим роботи тиждень через тиждень з 10.30 до 23.00. </t>
  </si>
  <si>
    <t>0722880707, Волинська область, Луцький район, Рованці</t>
  </si>
  <si>
    <t>приготування перших та других страв відповідно до калькуляційних карт</t>
  </si>
  <si>
    <t xml:space="preserve">25.03.2020 року 15.31 год. тимчасово припинено набір персоналу на час карантину
виготовлення холодних та гарячих страв згідно калькуляції; контроль якості та наявності товару; участь в інвентаризації; забезпечення санітарних вимог.;
супермаркет "Наш Край" м. Сміла вул. Чорновола, 4а; 
</t>
  </si>
  <si>
    <t>приготування страв- перших, других, салатів, дотримання технологій приготування страв, дотримуватись правил санітарії, особистої гігієни</t>
  </si>
  <si>
    <t xml:space="preserve">Приготування перших та других страв. Обслуговування відвідувачів їдальні. Дотримання правил особистої гігієни.
</t>
  </si>
  <si>
    <t xml:space="preserve">кухар-піцейол, якісне і своєчасне приготування піци різного складу, згідно технологічних карт, дотримання правил виробничої санітарії, догляд та збереження технологічного обладнання, </t>
  </si>
  <si>
    <t>знання технології приготування фуршетних та банкетних страв,оформлення страв на належному рівні.</t>
  </si>
  <si>
    <t xml:space="preserve"> Приготування холодних та гарячих страв у закладі "Козача левада" по вул. Дубнівській,21а. </t>
  </si>
  <si>
    <t>кухар дитячого харчування</t>
  </si>
  <si>
    <t>Виготовляє для дітей різного віку відповідно до їх фізіологічних особливостей, правил раціонального та лікувально-профілактичного харчування гарячі і холодні страви</t>
  </si>
  <si>
    <t>0722884801, Волинська область, Луцький район, Підгайці</t>
  </si>
  <si>
    <t>0722884802, Волинська область, Луцький район, Крупа</t>
  </si>
  <si>
    <t>бармен</t>
  </si>
  <si>
    <t xml:space="preserve"> Обслуговування споживачів: пропонує, показує, реалізує готові до споживання безалкогольні, слабоалкогольні напої (пиво, фруктові та мінеральні води, соки), кондитерські вироби, закуски, страви.
</t>
  </si>
  <si>
    <t>0722455100, Волинська область, Локачинський район, Локачі</t>
  </si>
  <si>
    <t>Обслуговувати споживачів: пропонувати, реалізувати готові до споживання алкогольні, слабоалкогольні та безалкогольні напої, страви, закуски, кондитерські вироби. Готувати алкогольні та слабоалкогольні напої.</t>
  </si>
  <si>
    <t>Місце роботи: Бар "Стріт Бар", вміти правильно обслуговувати клієнтів, слідкувати за чистотою на робочому місці, вміння тактовного спілкування з клієнтами</t>
  </si>
  <si>
    <t>0725555100, Волинська область, Турійський район, Турійськ</t>
  </si>
  <si>
    <t xml:space="preserve">/оперативне обслуговування відвідувачів та проведення  розрахунку з ними, знання асортименту слабоалкогольних та алкогольних напоїв, знання рецептури і способу приготування коктейлів/;
</t>
  </si>
  <si>
    <t>обслуговування відвідувачів, прийом замовлень, приготування алкогольних та безалкогольних напоїв</t>
  </si>
  <si>
    <t xml:space="preserve"> .  обслуговування гостей кафе, приготування напоїв відповідно до затвердженої технології, підтримка чистоти на робочому місці, проведення розрахунків з гостями;
</t>
  </si>
  <si>
    <t>обслуговування клієнтів закладу,приготування напоїв, коктейлів, ввічливість, , розрахунки, робота з накладними, касовим апаратом</t>
  </si>
  <si>
    <t>Приготування напоїв, розлив напоїв, розрахукнок клієнтів, робота з касовим апаратом 
Можливе навчання на робочому місці.
Місце проведення робіт Завокзальний ринок кафе "Насолода"</t>
  </si>
  <si>
    <t xml:space="preserve">попередньо телефонувати!!!  доброзичливе обслуговування гостей, створення затишної атмосфери закладу, дотримання посадових інструкцій.
</t>
  </si>
  <si>
    <t>буфетник</t>
  </si>
  <si>
    <t>0721480801, Волинська область, Камінь-Каширський район, Бузаки</t>
  </si>
  <si>
    <t xml:space="preserve">  / Відпускає споживачам кулінарну продукцію, покупні вагові товари, холодні та гарячі страви, закуски, гарячі напої, хлібобулочні, мучні, кулінарні та кондитерські вироби, молочні продукти відповідно до норм їх виходу та відпускання. Нарізає, зважує, порціонує, укладає їжу на тарілки, в салатниці та інший посуд, розливає напої в стакани.
</t>
  </si>
  <si>
    <t>офіціант</t>
  </si>
  <si>
    <t>Знання  асортименту, рецептури, технології виготовлення страв і напоїв; правил і технічних прийомів обслуговування споживачів; форм складання серветок;  видів меню, порядку запису страв і напоїв в меню; правил і порядку подавання страв і напоїв</t>
  </si>
  <si>
    <t>Обслуговування клієнтів закладу, знання меню, порядність, охайність. Заробітна плата +премія. Робота в кафе "Козача Левада". Графік роботи з 10.00-23.00 год.</t>
  </si>
  <si>
    <t>/Уміння готувати зал до обслуговування споживачів,  здійснювати попередню сервіровку столів; приймати замовлення від споживачів;</t>
  </si>
  <si>
    <t>0723384001, Волинська область, Любомльський район, Почапи (видалений)</t>
  </si>
  <si>
    <t>Місце роботи: бар "Стріт Бар". Обслуговує споживачів у закладі харчування із складною сервіровкою столів, прийманням замовлень від споживачів.</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</si>
  <si>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Отримує страви в роздавальні та в буфеті. Подає страви і напої. Обслуговує неофіційні банкети. Оформляє рахунки і розраховується по них із споживачами. Прибирає використані посуд, прибори. Замінює столову білизну./</t>
  </si>
  <si>
    <t xml:space="preserve"> .  оперативне та якісне обслуговування клієнтів  кафе, приймати  замовлення; надавати кваліфіковану консультацію щодо складання меню; проведення розрахунків;
</t>
  </si>
  <si>
    <t xml:space="preserve">оперативне та якісне обслуговування клієнтів, сервіровка столів, дотримуватись певних правил етикету, приймати  замовлення, надавати кваліфіковану консультацію щодо складання меню, проведення розрахунків, робота в кафе "Шоу Базилік"  </t>
  </si>
  <si>
    <t xml:space="preserve">  .  виконувати роботу офіціанта, обслуговування клієнтів закладу</t>
  </si>
  <si>
    <t xml:space="preserve">     обслуговування відвідувачів, знання рецептури і технології приготування страв у закладі "Козача левада" по вул. Дубнівській,21а. Попередньо телефонувати: 0506788099- Валентина Миколаївна</t>
  </si>
  <si>
    <t>попередньо телефонувати!!!  доброзичливе обслуговування гостей, створення затишної атмосфери закладу, дотримання посадових інструкцій.
 зар.плата може сягати до 12000,00 грн., (оклад+%)</t>
  </si>
  <si>
    <t xml:space="preserve">Обслуговування клієнтів закладу, сервірування столів, знання асортименту та складових блюд, дотримання правил етикету, використання спеціалізованого обладнання, фізично витривалі, так як робота пов'язана з тривалим перебуванням на ногах, а також перенесення посуду в різних об'ємах. </t>
  </si>
  <si>
    <t>.   Обслуговування споживачів та знання меню. Дотримання правил етикету під час обслуговування відвідувачів .</t>
  </si>
  <si>
    <t>Обслуговування споживачів та знання меню. Дотримання правил етикету під час обслуговування відвідувачів .</t>
  </si>
  <si>
    <t>обслуговування клієнтів в кафе ТЦ "ПОРТ СІТІ ",</t>
  </si>
  <si>
    <t>попередньо телефонувати!!!  доброзичливе обслуговування гостей, створення затишної атмосфери закладу, дотримання посадових інструкцій.
 зар.плата може сягати до 12000,00 грн.</t>
  </si>
  <si>
    <t xml:space="preserve">Прийом замовлень, обслуговування клієнтів, подача страв, сервірування столів; охайність, комунікабельність, відсутність шкідливих звичок. Робота у кафе "Гостинний двір". Графік роботи: тиждень через тиждень. </t>
  </si>
  <si>
    <t>нянька</t>
  </si>
  <si>
    <t>/ догляд за дітьми до 6 років</t>
  </si>
  <si>
    <t>помічник вихователя</t>
  </si>
  <si>
    <t>/Виконання обовязків помічника вихователя відповідно до посадової інструкції.
місце роботи: Коритниця  ДНЗ.
Відповідальний: 03374(22151)  - фахівець Тетяна Олексіївна</t>
  </si>
  <si>
    <t>Молодша медична сестра (санітарка, санітарка-прибиральниця, санітарка-буфетниця та ін.)</t>
  </si>
  <si>
    <t xml:space="preserve">/ Здійснює прибирання приміщень відповідно до санітарного режиму закладу. Супроводжує хворих у лікувально-діагностичні кабінети.  Виконує функції кур'єра. Допомагає старшій медичній сестрі отримувати медикаменти, інструменти, обладнання і доставляти у відділення.
 Отримує у сестри-господарки і забезпечує зберігання й використання за призначенням білизну, мийні засоби і господарський реманент./
</t>
  </si>
  <si>
    <t>0725755101, Волинська область, Шацький район, Гаївка</t>
  </si>
  <si>
    <t>молодша медична сестра з догляду за хворими</t>
  </si>
  <si>
    <t xml:space="preserve">Відповідає за: справність душових, кранів, ванн та організовує їх своєчасний ремонт; дотримання графіка миття підопічних, заміни білизни; дотримання санітарних вимог в ванних та душових кімнатах; маркування постільної та натільної білизни і банного інвентарю; охайний вигляд підопічних; закріплені за ванницею цінності. Здає в пральню та одержує постільну білизну, слідкує за якістю прання білизни.
</t>
  </si>
  <si>
    <t>Манікюрник</t>
  </si>
  <si>
    <t>/виконання манікюру та педикюру.</t>
  </si>
  <si>
    <t>Виконання манікюру і педикюру; зняття гель лаку; покриття гель лаком; чистка нігтів; дезинфікація інструментів. Режим роботи з 08,00 до 20,00.</t>
  </si>
  <si>
    <t>перукар (перукар - модельєр)</t>
  </si>
  <si>
    <t>0721183801, Волинська область, Іваничівський район, Павлівка</t>
  </si>
  <si>
    <t>/Знання основ моделювання зачіски; способів оформлення зачіски; складу і властивостей препаратів, розчинів спеціального призначення, парфюмерно-косметичних засобів, їх вплив на шкіру і волосся.</t>
  </si>
  <si>
    <t>0724255300, Волинська область, Ратнівський район, Заболоття</t>
  </si>
  <si>
    <t>перукар чоловічого залу, знання технології стрижок, чоловічих зачісок,  тощо</t>
  </si>
  <si>
    <t>перукар -універсал, знання технології стрижок, жіночих ічоловічих зачісок,  тощо</t>
  </si>
  <si>
    <t>майстер чоловічих і жіночих зачісок, знання колористики</t>
  </si>
  <si>
    <t xml:space="preserve">Визначає по зовнішніх ознаках вид, структуру, стан волосся і шкіри, 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Заробітна плата оклад + %, є перспектива росту. </t>
  </si>
  <si>
    <t xml:space="preserve">Салон краси "Малена" - перукар-універсал. 
Визначає по зовнішніх ознаках вид, структуру, стан волосся і шкіри, 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t>
  </si>
  <si>
    <t>покоївка</t>
  </si>
  <si>
    <t>прибирання номерів готелю. Доба через дві (з 9.00 ранку до 9.00 ранку).</t>
  </si>
  <si>
    <t xml:space="preserve">  .  прибирання номерів, заміна та прання постільної білизни, миття душових кабін, вбиральні, натирання дзеркал; </t>
  </si>
  <si>
    <t>охоронник</t>
  </si>
  <si>
    <t>6821210100, Хмельницька область, Городоцький район, Городок</t>
  </si>
  <si>
    <t>0720582001, Волинська область, Володимир-Волинський район, Зимне</t>
  </si>
  <si>
    <t>Охорона території підприємства.
Графік роботи з 8-00 до 20-00 І зміна
                         з 20-00 до 8-00 ІІ зміна
після ІІ зміни два дні вихідні.</t>
  </si>
  <si>
    <t>здійснення відеонагляду, охорона біля каси,  досвід роботи на інших ділянках  в магазинах</t>
  </si>
  <si>
    <t>охоронець</t>
  </si>
  <si>
    <t>Молодший інспектор відділу охорони (охоронець). Відповідає  за справний стан місця несення бойової служби та своєї зброї, підтримує в належному стані ділянки периметру, приміщень варти, тощо., здійснення охорони та нагляду, бажано  служба в збройних службах України
Навчання в вищих навчальних закладах безкоштовно (юридична освіта)</t>
  </si>
  <si>
    <t>монтер із захисту підземних трубопроводів від корозії</t>
  </si>
  <si>
    <t>виконує земляні роботи по влаштуванню та ремонту станцій катодного захисту, виконує вимірювання захисного потенціалу його опрацювання та за даними вимірювань складати потенціальні діаграми, виконувати перевірку стану ізоляційного покриття.
Вміння працювати з електротехнічними приладами (група з електробезпеки не нижче 3)</t>
  </si>
  <si>
    <t>електромеханік з ліфтів</t>
  </si>
  <si>
    <t>ремонт, монтаж та демонтаж ліфтового устаткування, налагодження, регулювання і випробування ліфтів</t>
  </si>
  <si>
    <t>електромонтер оперативно-виїзної бригади</t>
  </si>
  <si>
    <t xml:space="preserve">знання і розуміння електротехнічних процесів, оперативне реагування на ремонт ліній електропередач, ліквідація пошкоджень в розподільних мережах </t>
  </si>
  <si>
    <t>електромонтер з ремонту повітряних ліній електропередачі</t>
  </si>
  <si>
    <t xml:space="preserve">Виконання монтажних та налагоджувальних робіт у вторинних колах розподільчих пристроїв 10 кВ та електричних підстанцій 35-110 кВ;    регулювання та ремонт окремих пристроїв релейного захисту і автоматики.
</t>
  </si>
  <si>
    <t>електромонтер з ремонту та монтажу кабельних ліній</t>
  </si>
  <si>
    <t>виконання демонтажу, ремонту та монтажу кабельних ліній, увідних пристроїв кабельної арматури в електричних мережах різних напруг</t>
  </si>
  <si>
    <t>Електромонтер з експлуатації розподільних мереж</t>
  </si>
  <si>
    <t xml:space="preserve">Обслуговування і ремонт устаткування розподільних пунктів напругою 10/0,4 кВ, трансформаторних підстанцій, повітряних і кабельних ліній електропередачі розподільних мереж напругою 10/0,4 кВ. </t>
  </si>
  <si>
    <t>0721410100, Волинська область, Камінь-Каширський район, Камінь-Каширський</t>
  </si>
  <si>
    <t>електромонтер з експлуатації електролічильників</t>
  </si>
  <si>
    <t>встановлення електролічильників в електроустановках та здійснення експлуатаційного обслуговування електролічильників, перевіряє схеми обліку енергії, що реалізуються прямоструменними лічильниками, увімкненими через вимірювальні трансформатори струму й напруги</t>
  </si>
  <si>
    <t>0722885401, Волинська область, Луцький район, Ратнів</t>
  </si>
  <si>
    <t>0725055100, Волинська область, Старовижівський район, Стара Вижівка</t>
  </si>
  <si>
    <t>чистильник</t>
  </si>
  <si>
    <t>машиніст (кочегар) котельної</t>
  </si>
  <si>
    <t>машиніст насосних установок</t>
  </si>
  <si>
    <t>налагоджувальник устаткування у виробництві харчової продукції</t>
  </si>
  <si>
    <t>оглядач гідротехнічних об'єктів</t>
  </si>
  <si>
    <t>підтримання в належному стані меліоративної системи-обкошування каналів,вирубка кущів і т.д.</t>
  </si>
  <si>
    <t>машиніст вентиляційної та аспіраційної установок</t>
  </si>
  <si>
    <t>Обслуговування вентиляційні та аспіраційні установки,фільтри, пускає, зміщує,виконує профілактичний огляд устаткування., ремонт устаткування.</t>
  </si>
  <si>
    <t>контролер верстатних та слюсарних робіт (верстатні роботи)</t>
  </si>
  <si>
    <t>оператор верстатів з програмним керуванням</t>
  </si>
  <si>
    <t>графік роботи з 8.00 до 20.00, та з 20.00 до 8.00, 2 через 2 дні</t>
  </si>
  <si>
    <t>верстатник широкого профілю</t>
  </si>
  <si>
    <t xml:space="preserve">обробка деталей на універсальних верстатах, нарізання різьби, фрезерування, шліфування вузлів та деталей. </t>
  </si>
  <si>
    <t>оператор автоматичних та напівавтоматичнихліній верстатів та установок</t>
  </si>
  <si>
    <t>апаратник змішування</t>
  </si>
  <si>
    <t>/ намішувати сировину відповідно до затверджених формул та зразків. Здійснювати поточний аналіз та дослідження (у вигляді термошкафу) сировини, матеріалів, напівфабрикатів, готової продукції.
За детальною інформацією звертатись за телефоном: 0-3344-3-21-15</t>
  </si>
  <si>
    <t>лаборант хімічного аналізу</t>
  </si>
  <si>
    <t>Вишивальник</t>
  </si>
  <si>
    <t>вишивка емблем,пришивання гудзиків, оброблення петель на спеціалізованих машинах</t>
  </si>
  <si>
    <t>швачка</t>
  </si>
  <si>
    <t>/ виконує на машинах чи вручну операції по пошиттю виробів з різних матеріалів, контролює якість крою, відповідність кольору деталей, виробів, прикладних матеріалів, ниток, фурнітури кольору і призначенню виробу, дотримується  правил особистої гігієни. т.0972083581.</t>
  </si>
  <si>
    <t>пошиття поліпропіленових мішків</t>
  </si>
  <si>
    <t>пошиття робочого одягу від початку до кінця.</t>
  </si>
  <si>
    <t>пошиття верху чоловічого та жіночого взуття з шкіри</t>
  </si>
  <si>
    <t>Поопераційний пошив одягу(чоловічий, жіночий, дитячий) від нижньої білизни до верхнього одягу включно. Забезпечення житлом в м. Рівне (безкоштовно) в новому гуртожитку. Можливий кар'єрний ріст (від швачки до начальника швейного виробництва. Безкоштовна екскурсія по виробництву.
Телефон для співбесіди 0981214257 
14:14 26.03.2020р. тимчасово припинено набір персоналу на час карантину</t>
  </si>
  <si>
    <t>5610100000, Рівненська область, Рівне</t>
  </si>
  <si>
    <t>виконувати на швейних машинах операції з пошиття виробів з плюшевих, велюрових тканин та матеріалів з ворсом середньої довжини, слизьких матеріалів, пошиття дитячої постільної білизни та упаковки, контролює якість і кількість  крою, відповідність кольору деталей і ниток.</t>
  </si>
  <si>
    <t xml:space="preserve">дрібний ремонт, пошиття службового спеціалізованого одягу, добросовісне виконання обов'язків </t>
  </si>
  <si>
    <t>досконале знання технології та її дотримання при пошитті одягу- дитячі, чоловічі, жіночі костюми, верхнього одягу та навики</t>
  </si>
  <si>
    <t xml:space="preserve">Робота пов'язана з виготовлення поліпропіленових мішків.
Графік роботи з 8-00 до  18-00 год.
Довіз працівників до місця роботи.
Виробницво забезпечене необхідими обладнанням
Можливе навчання на виробництві
</t>
  </si>
  <si>
    <t>пошиття військової амуніції (сумки, чохли для військового екіпірування, жилети), робота на швейному обладнанні Juck</t>
  </si>
  <si>
    <t>продавець непродовольчих товарів</t>
  </si>
  <si>
    <t>Наявність посвідчення продавця  .Навики в роботі.Уміння продавати , пропонувати.
Місце проведення робіт смт.Локачі, Торговий центр  "АВС"</t>
  </si>
  <si>
    <t>/ продаж продовольчих товарів  магазин "Смак"</t>
  </si>
  <si>
    <t>продаж автозапчастин,приймання та замовлення товару, матеріальна відповідальність</t>
  </si>
  <si>
    <t>Робота в магазині "BEST".проводити розвантажувально-навантажувальні роботи до 20 кг, наявність санітарної книжки, забезпечення спецодягом, матеріальна відповідальність, реалізація фасованої та розфасованої продукції,розміщує та викладає товар за групами,заповнює та прикріплює ярлики цін,прибирає робоче місце в кінці дня.</t>
  </si>
  <si>
    <t>/ Магазин "Все по 40". Проводити розвантажувально-навантажувальні роботи до 20 кг, наявність санітарної книжки, забезпечення спецодягом, матеріальна відповідальність, реалізація фасованої та розфасованої продукції,розміщує та викладає товар за групами,заповнює та прикріплює ярлики цін,прибирає робоче місце в кінці дня.</t>
  </si>
  <si>
    <t>/Магазин "Все по 35к",проводити розвантажувально-навантажувальні роботи до 20 кг, наявність санітарної книжки, забезпечення спецодягом, матеріальна відповідальність, реалізація фасованої та розфасованої продукції,розміщує та викладає товар за групами,заповнює та прикріплює ярлики цін,прибирає робоче місце в кінці дня.</t>
  </si>
  <si>
    <t>/Уміння обслуговувати покупців, надавати констультації щодо пропонованих товарів (ювелірні вироби), демонструвати їх в дії, консультувати щодо конструктивних особливостей окремих видів товарів, їх призначення, властивостей, якості, правил догляду за ними, цін, здійснювати підрахунок вартості покупки/</t>
  </si>
  <si>
    <t>.    Продаж шпалерів та інших покрівельних товарів для стін</t>
  </si>
  <si>
    <t>продавець продовольчих товарів</t>
  </si>
  <si>
    <t>Продаж товарів продовольчої групи. Викладка товару на прилавки, прийом товару.</t>
  </si>
  <si>
    <t>0720855700, Волинська область, Горохівський район, Сенкевичівка</t>
  </si>
  <si>
    <t>Уміння приймати товари; перевіряти заповнення тарних  одиниць, їх кількість та вагу.Готувати товари до продажу: перевіряти цілісність пакування, розпаковувати із зовнішньої тари.Продавати товар покупцям.</t>
  </si>
  <si>
    <t>0720810300, Волинська область, Горохівський район, Берестечко</t>
  </si>
  <si>
    <t xml:space="preserve">Здійснювати роздрібну торгівлю м'ясом  та  м'ясною  продукцією  (курятина, субпродукти) в спеціалізованому  магазині. Розміщення його в морозильні камери, дотримання санітарних норм.
Магазин "Наша Ряба",біля світлофора.тел.096 0136265-Наталія Ростиславівна </t>
  </si>
  <si>
    <t xml:space="preserve">       .  Реалізовувати фасовану та розфасовану продукцію, розташовувати та викладати товар за групами, заповнювати та прикріплювати ярлики цін, прибирати робоче місце в кінці дня, проводити розвантажувально-навантажувальні роботи до 20 кг.</t>
  </si>
  <si>
    <t xml:space="preserve">  .роздрібна торгівля з лотка на ринку</t>
  </si>
  <si>
    <t>0722483701, Волинська область, Локачинський район, Колпитів</t>
  </si>
  <si>
    <t>0722484001, Волинська область, Локачинський район, Крухиничі</t>
  </si>
  <si>
    <t>0721882701, Волинська область, Ківерцівський район, Жидичин</t>
  </si>
  <si>
    <t>0722481202, Волинська область, Локачинський район, Губин</t>
  </si>
  <si>
    <t>0722485801, Волинська область, Локачинський район, Холопичі</t>
  </si>
  <si>
    <t>Роздрібна торгівля хлібобулочними виробами, борошняними та цукровими кондитерськими виробами в спеціалізованих магазинах</t>
  </si>
  <si>
    <t>0723685301, Волинська область, Маневицький район, Оконськ</t>
  </si>
  <si>
    <t>0723686201, Волинська область, Маневицький район, Серхів (видалений)</t>
  </si>
  <si>
    <t>/Робота в магазині "Бабусині казки"</t>
  </si>
  <si>
    <t>Торгівля сухофруктами, горіхами, курагою, тощо. Місце роботи: магазин "Міцний горішок" (м.Рожище)</t>
  </si>
  <si>
    <t>Торгівля змішаним асортиментом продовольчих товарів у магазині "Рожищенські ковбаси" (м.Рожище)</t>
  </si>
  <si>
    <t>0724582901, Волинська область, Рожищенський район, Копачівка</t>
  </si>
  <si>
    <t>Торгівля продовольчими товарами в магазині м. Рожище. Дотримання техніки безпеки і санітарних вимог.</t>
  </si>
  <si>
    <t>торгівля змішаним асортиментом товарів</t>
  </si>
  <si>
    <t>/Знання асортименту товарів, класифікацій, характеристик, сировини, харчової цінності товарів, роздрібних цін на товари, порядку розрахунку із споживачами.</t>
  </si>
  <si>
    <t>.   прийом, викладка продукції, обслуговування покупців, роздрібна торгівля пивом, безалкогольними напоями; мережа магазинів "Акцент"</t>
  </si>
  <si>
    <t>викладка товарів, заміна цінників, контроль за терміном зберігання, консультування покупців  гіпермаркету "Там Там"</t>
  </si>
  <si>
    <t xml:space="preserve">торгівля продовольчою групою товарів у магазині, знання касового апарату, контроль за терміном зберігання товару. </t>
  </si>
  <si>
    <t>викладка товару на полицях та прилавках магазину, зважування вагового товару, заміна цінників, контроль за наявністю цінників, контроль термінів зберігання продукції, консультування покупців, дотримуватись стандартів обслуговування покупців, правил торгівлі, внутрішніх стандартів розміщення, зберігання та реалізація продовольчих товарів та товарів широкого вжитку</t>
  </si>
  <si>
    <t>продаж хлібобулочних виробів. Обслуговування клієнтів.</t>
  </si>
  <si>
    <t>торгівля продовольчою групою товарів у магазині, розрахунок з покупцями, знання касового апарату, контроль за терміном зберігання товарів. Робота у магазині "Бруклін"</t>
  </si>
  <si>
    <t>оператор із штучного осіменіння тварин та птиці</t>
  </si>
  <si>
    <t>0722481806, Волинська область, Локачинський район, П'ятикори</t>
  </si>
  <si>
    <t>оператор цехів для приготування кормів (тваринництво)</t>
  </si>
  <si>
    <t>0722155300, Волинська область, Ковельський район, Голоби</t>
  </si>
  <si>
    <t>робітник з догляду за тваринами</t>
  </si>
  <si>
    <t>Виконує обов'язки пастуха. Комплексний догляд за великою рогатою худобою, догляд, прибирання місця перебування тварин, годівлі,  розгрузка  кормів, доставка води для випоювання тварин.</t>
  </si>
  <si>
    <t>0724286001, Волинська область, Ратнівський район, Прохід</t>
  </si>
  <si>
    <t>догляд за бездомними тваринами</t>
  </si>
  <si>
    <t>вальник лісу</t>
  </si>
  <si>
    <t>оператор мийної установки</t>
  </si>
  <si>
    <t>Друкар офсетного плоского друкування</t>
  </si>
  <si>
    <t xml:space="preserve">виконання обов'язків оператора широкоформатного принтера, здійснення друку плакатів, банерів, наклейок. </t>
  </si>
  <si>
    <t>Друкар флексографічного друкування</t>
  </si>
  <si>
    <t>розмір заробітної плати може сягати до 10000,00 грн(можливі надбавки),  друк на рулонних матеріалах, обслуговування агрегата для флексодруку, обслуговування виробництва  поліетиленової плівки</t>
  </si>
  <si>
    <t>машиніст екскаватора</t>
  </si>
  <si>
    <t>Керує екскаваторами (відповідно до зазначених нижче параметрів) ланцюговими та роторними або планувальниками під час розробляння ґрунтів у ході,різних каналів,Виконує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t>
  </si>
  <si>
    <t>Знає та застосовує у діяльності:
      - будову і технічні характеристики обслуговуваних екскаваторів;
      - принцип роботи механічного, гідравлічного та електричного обладнання екскаваторів;
      - правила балансування екскаваторів;
      - раціональні режими робіт екскаваторів та прийоми черпання;
      - правила екскавації важких і легких ґрунтів та способи керування механізмами;
Проведення робіт на будівельному майданчику в районі вул. Рівненська</t>
  </si>
  <si>
    <t>.   забезпечує технічно правильне та ефективне використання екскаватора; заправляє горючими та мастильними матеріалами дизельний екскаватор; наявність посвідчення</t>
  </si>
  <si>
    <t>керує екскаватором з ковшем місткістю до 0,25 куб.м та екскаватором місткістю ковша до 0,5 куб.м під час виконання розкривних, видобувних, переекскаваційних, зачищувальних, відвальних та вантажно-розвантажувальних робіт; забезпечує технічно правильне розроблення вибою та ефективне використання екскаватора; заправляє горючими та мастильними матеріалами дизельний екскаватор; наявність посвідчення 25.03.2020 об 10.50 год тимчасово припинено набір персоналу на час карантину</t>
  </si>
  <si>
    <t>шліфувальник каменів</t>
  </si>
  <si>
    <t xml:space="preserve"> / Шліфує і доводить деталі середньої складності  на шліфувальному верстаті на виробництві пам'ятників, дотримання правил  техніки безпеки та охорони праці.
</t>
  </si>
  <si>
    <t>0721486601, Волинська область, Камінь-Каширський район, Раків Ліс</t>
  </si>
  <si>
    <t>Слюсар із складання металевих конструкцій</t>
  </si>
  <si>
    <t xml:space="preserve">27.04.2020 08:35 Тимчасово припинено набір персоналу на час карантину.
Складання металопластикових вікон і дверей, алюмінієвих конструкцій, порізка профілю, обв'язка у профілі фурнітури. Досвід роботи у складані металопластикових конструкцій. </t>
  </si>
  <si>
    <t>стропальник</t>
  </si>
  <si>
    <t>оператор автоматичних і напівавтоматичних ліній холодноштампувального устаткування</t>
  </si>
  <si>
    <t>/ виробництво парфумерних та косметичних засобів, у виробництві використовується етилацетат; веде процес відрізання та штампування на автоматичних, напівавтоматичних лініях та прес-автоматах  з пульта керування. Телефон для інформації: 0-3344-3-21-15 (Наталія Шаравага)</t>
  </si>
  <si>
    <t>слюсар з контрольно-вимірювальних приладів та автоматики (електромеханіка)</t>
  </si>
  <si>
    <t xml:space="preserve">проводити монтаж, налагодження і ремонт обладнання контрольно-вимірювальних приладів та автоматики; усунення несправностей в схемах обладнання КВП та А; слідкувати за справним снаном інструменту, захисних і запобіжних засобів, знати терміни їх перевірки; слідкувати за справністю приладів контролю та за дотриманням порядку в щитах (пультах) управління </t>
  </si>
  <si>
    <t xml:space="preserve">електрослюсар з контрольно-вимірювальних приладів та автоматики:виконання ремонтних, монтажних та налагоджувальних робіт електроустаткування розподільних пристроїв </t>
  </si>
  <si>
    <t>проводить підготовчі роботи по заключенню договорів на проведення монтажних робіт, здійснення експлуатації (обслуговування) та про зняття показань з встановленого будинкового вузла обліку природного газу. Виконує роботи по монтажу, наладці та обслуговуванню загально будинкових вузлів обліку газу.</t>
  </si>
  <si>
    <t>електромонтажник силових мереж та електроустаткування</t>
  </si>
  <si>
    <t>/виконання робіт по встановленню електромонтажних силових мереж та електроустаткування на об'єктах будівництва. Телефон для інформації:0-3344-3-21-15 (Світлана Ковальчук)</t>
  </si>
  <si>
    <t>електромонтер диспетчерського устаткуваннята телеавтоматики</t>
  </si>
  <si>
    <t>ремонтні та обслуговуючі роботи електроустаткування- робота пов'язана з стоками, дотримання техніки безпеки</t>
  </si>
  <si>
    <t>обслуговування диспетчерського електроустаткування</t>
  </si>
  <si>
    <t>Здійснення експлуатаційно-технічного обслуговування кабельних і лінійних споруд диспетчерського устаткування, високочастотних каналів, апаратури телеавтоматики і підтримання встановлених режимів їх роботи.</t>
  </si>
  <si>
    <t>електромонтер з випробувань та вимірювань</t>
  </si>
  <si>
    <t>здійснює випробування і вимірювання параметрів електроустаткування напругою 0,4-10 кВ включно; випробує підвищеною прикладеною напругою захисні засоби і пристрої; вимірює опір ізоляції, перехідний опір, опір контурів заземлення розподільних пристроїв; оформляє результати випробувань та вимірювань у первинній технічній документації</t>
  </si>
  <si>
    <t>електромонтер з ремонту апаратури, релейного захисту й автоматики</t>
  </si>
  <si>
    <t>електромонтер з ремонту та обслуговування електроустаткування</t>
  </si>
  <si>
    <t>5625410100, Рівненська область, Сарненський район, Сарни</t>
  </si>
  <si>
    <t>ремонт та обслуговування електроустаткування  ТЦ "Порт-сіті",робота доба через дві.</t>
  </si>
  <si>
    <t>Електрослюсар з ремонту устаткування розподільних пристроїв</t>
  </si>
  <si>
    <t>дійснює слюсарну обробку деталей за 12-14 квалітетами. Виготовляє прості металеві конструкції, очищає, промиває і протирає демонтовані і складальні деталі устаткування, розбирає, ремонтує і складає електроустаткування відкритих розподільних пристроїв напругою 35кВ включно</t>
  </si>
  <si>
    <t>електромонтер з ремонту та обслуговування апаратури та пристроїв зв'язку</t>
  </si>
  <si>
    <t>обвалювальник м'яса</t>
  </si>
  <si>
    <t xml:space="preserve">25.03.2020 року 15.40 год. тимчасово припинено набір персоналу на час карантину
обвалювання туш і частини туш, розділка туш, півтуш, четвертин на частини для обвалювання м'яса, підготовка товару до продажу, пакування, маркування; 
супермаркет "Наш Край" м. Шепетівка пр. Миру, 33; 
</t>
  </si>
  <si>
    <t>6810700000, Хмельницька область, Шепетівка</t>
  </si>
  <si>
    <t xml:space="preserve">25.03.2020 року 15.33 год. тимчасово припинено набір персоналу на час карантину
обвалювання туш і частини туш, розділка туш, півтуш, четвертин на частини для обвалювання м'яса, підготовка товару до продажу, пакування, маркування; 
супермаркет "Наш Край" м. Радивилів вул. Почаївська, 33;
</t>
  </si>
  <si>
    <t>5625810100, Рівненська область, Радивилівський район, Радивилів</t>
  </si>
  <si>
    <t xml:space="preserve">25.03.2020 року 15.42 год. тимчасово припинено набір персоналу на час карантину
обвалювання туш і частини туш, розділка туш, півтуш, четвертин на частини для обвалювання м'яса, підготовка товару до продажу, пакування, маркування; 
супермаркет "Наш Край" м. Шепетівка пр. Миру, 33; 
</t>
  </si>
  <si>
    <t>оброблювач риби</t>
  </si>
  <si>
    <t>кондитер</t>
  </si>
  <si>
    <t>цукерник</t>
  </si>
  <si>
    <t>пекар</t>
  </si>
  <si>
    <t>/Формування та випікання борошняних виробів</t>
  </si>
  <si>
    <t>випікання хлібобулочних та кондитерських виробів</t>
  </si>
  <si>
    <t>Випічка хліба та хлібобулочних виробів</t>
  </si>
  <si>
    <t>0722882901, Волинська область, Луцький район, Коршів</t>
  </si>
  <si>
    <t xml:space="preserve">25.03.2020 року 15.36 год. тимчасово припинено набір персоналу на час карантину
виготовлення хлібо-булочних виробів, орієнтуватися у нових технологічних процесах виробництва, у параметрах температурного та парового режимів випікання, рецептуру отримання різних видів тіста, методи визначення готовності тіста до випікання, якість сировини і готової продукції; стандарти та технічні умови на всі сорти хлібо-булочних виробів; 
супермаркет "Наш Край" м. Сміла вул. Чорновола, 4а; 
</t>
  </si>
  <si>
    <t>.   пекарські роботи  хлібо-булочних виробів</t>
  </si>
  <si>
    <t>пресувальник (хімічне виробництво)</t>
  </si>
  <si>
    <t>свердлувальник</t>
  </si>
  <si>
    <t>токар</t>
  </si>
  <si>
    <t>виконання токарних робіт, читання креслень, вміння користуватися вимірювальним інструментом</t>
  </si>
  <si>
    <t>проведення металообробки комплектуючих деталей до с/г техніки на універсальних токарних верстатах. Адреса п-ва: Луцький р-н, с.Гірка Полонка, вул.Луцька, 8</t>
  </si>
  <si>
    <t>0722881601, Волинська область, Луцький район, Гірка Полонка</t>
  </si>
  <si>
    <t>токарна обробка деталей на розточувальних верстатах, токарна обробка на токарно-карусельних верстатах</t>
  </si>
  <si>
    <t>фрезерувальник</t>
  </si>
  <si>
    <t>Фрезерує деталі середньої складності на однотипних горизонтальних і вертикальних універсальних фрезерних верстатах, на простих поздовжньо-фрезерних, копіювальних і шпонкових верстатах з застосуванням нормального різального інструменту і універсальних пристроїв.
"Тимчасово  припинено набір  персоналу на час карантину"    Дзвінок  25.03.2020  11.35 год.</t>
  </si>
  <si>
    <t>фрезерування металу</t>
  </si>
  <si>
    <t>сортувальник виробів, сировини та матеріалів</t>
  </si>
  <si>
    <t>муляр</t>
  </si>
  <si>
    <t xml:space="preserve"> / Виконання робіт середньої складності під час кладки та ремонту кам'яних конструкцій. Дотримання правил безпеки праці. Контактний телефон 0336521469 Аліна Миколаївна</t>
  </si>
  <si>
    <t>Виконує роботи під час кладки та ремонту кам'яних конструкцій будов.</t>
  </si>
  <si>
    <t>виконувати роботи середньої складності під час кладки та ремонту кам’яних конструкцій будов, котелень та теплових пунктів</t>
  </si>
  <si>
    <t>виконання робіт на будівництві,  мурування і кладка</t>
  </si>
  <si>
    <t>Знає та застосовує у діяльності:
      - основні властивості стінових матеріалів і розчинів, гідроізоляційних матеріалів для ізолювання фундаментів та стін; прості системи кладки та перев'язування швів; прийоми виконання кладки; кладка простих стін; способи розстилання розчину на стіні, розкладання цегли та забутовки; вимоги до якості цегляної кладки та збірних залізобетонних конструкцій, що монтуються у кам'яних будовах; правила роботи з пневматичним та електричним інструментом.</t>
  </si>
  <si>
    <t xml:space="preserve">26.03.2020р. 09.15год.тимчасово припинено набір персоналу на час карантину. виконання робіт на будівництвах  ; мурування і кладка несучих і складних стін </t>
  </si>
  <si>
    <t>Виконання обов'язків муляра-штукатура: дрібний поточний ремонт внутрішніх приміщень (євроремонт), облицювання плиткою. З/п + доплата за розряди; відсутність судимості</t>
  </si>
  <si>
    <t>бетоняр</t>
  </si>
  <si>
    <t>бетонування та заливка фундаментів</t>
  </si>
  <si>
    <t>робітник з комплексного обслуговування й ремонту будинків</t>
  </si>
  <si>
    <t>Поточний ремонт будівель та споруд коледжу, зокрема, гуртожитків. прибирання території, догляд за зеленими насадженнями на території коледжу</t>
  </si>
  <si>
    <t xml:space="preserve">Здійснення обслуговування та ремонт приміщення та території ліцею. </t>
  </si>
  <si>
    <t>робота по ремонту та обслуговуванню будинків,ремонт та обслуговування електроустаткування., головний корпус університету.</t>
  </si>
  <si>
    <t>ремонт та обслуговування приміщень та обладнання.</t>
  </si>
  <si>
    <t>покрівельник рулонних покрівель та покрівель із штучних матеріалів</t>
  </si>
  <si>
    <t>оператор сушильного устаткування</t>
  </si>
  <si>
    <t>полірувальник скла та скловиробів</t>
  </si>
  <si>
    <t>Виготовлення виробів зі скла, гравіювання на склі
Навчання на робочому місці</t>
  </si>
  <si>
    <t>флорист</t>
  </si>
  <si>
    <t>Роздрібна торгівля квіткової продукції та супутних товарів</t>
  </si>
  <si>
    <t>0721410102, Волинська область, Камінь-Каширський район, Підцир'я</t>
  </si>
  <si>
    <t>зачищувач</t>
  </si>
  <si>
    <t>Зачищування зварювальних швів на готових металовиробах</t>
  </si>
  <si>
    <t>радіомеханік з обслуговування та ремонту радіотелевізійної апаратури</t>
  </si>
  <si>
    <t>радіомеханік (сервісний інженер), ремонт різних видів побутової та промислової техніки, ремонт побутової електроніки;
робота - м. Луцьк вул. Кафедральна, 25</t>
  </si>
  <si>
    <t>радіотехнік</t>
  </si>
  <si>
    <t xml:space="preserve">робота з радіоелектронними пристроями та їх компонентами (плати в ліфтах); 
розуміння основних принципів радіотехніки; </t>
  </si>
  <si>
    <t>монтажник устаткування зв'язку</t>
  </si>
  <si>
    <t>Забезпечення безперебійної роботи кабельних ліній зв’язку. Вимірювання параметрів ВОЛЗ. Обслуговування та монтаж кабелів в приміщеннях та на вулиці.Підключення нових абонентів Інтернет і Телебачення, налаштування обладнання. Усунення пошкоджень та аварійних ситуацій. Наявність категорії В та стажу водія понад 1 рік. + %.</t>
  </si>
  <si>
    <t>монтажник зв'язку-кабельник</t>
  </si>
  <si>
    <t>виконання робіт по прокладці телекомунікаційних кабелів, робота з електроінструментом</t>
  </si>
  <si>
    <t>Слюсар з ремонту колісних транспортних засобів</t>
  </si>
  <si>
    <t>Працівник шиномонтажу повинен знати:  основні прийоми виконуваних операцій.призначення і правила застосування використовуваного обладнання.витратні матеріали, застосовувані в ході процесу. правила з охорони праці;</t>
  </si>
  <si>
    <t>0722885001, Волинська область, Луцький район, Піддубці</t>
  </si>
  <si>
    <t xml:space="preserve">Здійснює ремонт, складання простих з'єднань і складових одиниць автомобілів із заміною окремих частин і деталей, робочий день з 9,00 - 18,00 год.
</t>
  </si>
  <si>
    <t>Виконує роботи з розбирання простих складових одиниць і агрегатів автомобілів. Виконує очищення від бруду, миття після розбирання складових одиниць і агрегатів автомобілів, зачищення задирок, прогін різьблення, свердління отворів, змащення деталей. Бере участь у ремонті під керівництвом слюсаря більш високої кваліфікації.</t>
  </si>
  <si>
    <t>технічний ремонт і обслуговування автомобілів різних марок, знання складових автомобіля, дотримуватись правил техніки безпеки, проводити діагностику та профілактичний огляд транспортних засобів; виконувати роботи з розбирання, регулювання та складання вузлів і механізмів автотранспортних засобів; робота на станції технічного обслуговування в ПАТ "Волинь-Авто" по вул.Рівненській, 145</t>
  </si>
  <si>
    <t>слюсар з ремонту вантажних автомобілів, знання будови автомобілів, бажаний досвід роботи</t>
  </si>
  <si>
    <t>слюсарні роботи по обслуговуванню вантажного автотранспорту на виробничій базі (Т3- переважно MAN та спеціалізовані напівпричепи)</t>
  </si>
  <si>
    <t>(оклад+ премія), технічний ремонт і обслуговування автомобілів різних марок, знання складових автомобіля, дотримуватись правил техніки безпеки;</t>
  </si>
  <si>
    <t xml:space="preserve">Здійснює (виконує) роботи з підготовки автомобілів (вузлів та агрегатів) до ремонту чи технічного обслуговування. Проводить роботи з обслуговування та ремонту в суворій відповідності до технічних умов технологічних процесів. Зобов'язаний неухильно виконувати вимоги законодавства з питань охорони праці, дотримуватись правил техніки безпеки та пожежної охорони. </t>
  </si>
  <si>
    <t xml:space="preserve">технічний ремонт і обслуговування пасажирських автобусів "Еталон", "Богдан"; знання складових автомобіля, дотримуватись правил техніки безпеки;
</t>
  </si>
  <si>
    <t>технічний ремонт і обслуговування автомобілів різних марок, знання складових автомобіля, дотримуватись правил техніки безпеки</t>
  </si>
  <si>
    <t>ремонт автомобільної техніки (ЗІЛ, УРАЛ, КАМАЗ, КРАЗ); розумітися в автомобільній техніці</t>
  </si>
  <si>
    <t>продаж автомобілей, ремонт та діагностика автомобілей, робота з клієнтами. добросовісне виконання ремонтних робіт, зі слів роботодавця заробітна плата може сягати до 10000-30000 грн.
можливе працевлаштування працівників з Донецької та Луганської областей,( допомагають з поселенням та працевлаштуванням для всієї сім'ї при переїзді на довгий термін проживання)  .</t>
  </si>
  <si>
    <t xml:space="preserve">технічний ремонт і обслуговування автомобілів різних марок, 
знання складових автомобіля; 
дотримуватись правил техніки безпеки;
робота - м. Луцьк вул. Східна, 1
</t>
  </si>
  <si>
    <t>попередньо телефонувати !!!  (зі слів роботодавця зар.плата може сягати до 20000,00 грн). 
ремонт ходової легкових автомобілів, заміна зчеплення, заміна мастил.</t>
  </si>
  <si>
    <t>слюсар з паливної апаратури</t>
  </si>
  <si>
    <t>оклад+ надбавки (за розрядність - чим вищий розряд тим вища зар/плата), налагодження паливної арматури та дотримання правил техніки безпеки</t>
  </si>
  <si>
    <t>випробувач-механік двигунів</t>
  </si>
  <si>
    <t>.   дотримання режиму підприємства та техніки безпеки, добросовісне виконання посадових інструкцій</t>
  </si>
  <si>
    <t>дотримання режиму підприємства та техніки безпеки, добросовісне виконання посадових інструкцій</t>
  </si>
  <si>
    <t>слюсар з ремонту агрегатів</t>
  </si>
  <si>
    <t xml:space="preserve">Здійснює (виконує) роботи з підготовки автомобілів (вузлів та агрегатів) до ремонту чи технічного обслуговування. Проводить роботи з обслуговування та ремонту в суворій відповідності до технічних умов технологічних процесів. Зобов'язаний неухильно виконувати вимоги законодавства з питань охорони праці, дотримуватись правил техніки безпеки та пожежної охорони.
</t>
  </si>
  <si>
    <t>слюсар-ремонтник</t>
  </si>
  <si>
    <t>Уміння розбирати, ремонтувати, складати деталі та вузли санітарно-технічних систем  водопостачання, каналізації  та водостоків</t>
  </si>
  <si>
    <t>0722481204, Волинська область, Локачинський район, Павловичі</t>
  </si>
  <si>
    <t>проведення поточного ремонту та обслуговування обладнання у ремонтно-механічному цеху, усунення несправностей</t>
  </si>
  <si>
    <t xml:space="preserve">ремонт автомобілів,виконання робіт з розбирання та збирання, ремонту, складання вузлів і механізмів автотранспортних засобів </t>
  </si>
  <si>
    <t>рамник</t>
  </si>
  <si>
    <t>0723685101, Волинська область, Маневицький район, Нова Руда</t>
  </si>
  <si>
    <t>розмелювач (виробництво паперу та картону)</t>
  </si>
  <si>
    <t xml:space="preserve">  .  механізоване розмелювання картонно-паперової маси та обслуговування очисного устаткування (видалення з картонно-паперової маси зайвих домішок)</t>
  </si>
  <si>
    <t>завідувач складу</t>
  </si>
  <si>
    <t xml:space="preserve">на час декрету, робота з матеріальними цінностями мобілізаційного резерву; знання фармацевтичних препаратів, медичного обладнання; </t>
  </si>
  <si>
    <t>завідувач сховища</t>
  </si>
  <si>
    <t>завідувач елеватора - зерносховища; контроль та підтримання роботи елеватора, процесом сушіння і зберігання великої  кількості зерна; забезпечує зберігання сировини з додержанням режимів її зберігання, веде облік складських операцій; проведення дрібного ремонту та участь у формуванні бюджету на рік; місце проведення робіт у с. Чаруків Луцького району (ст. Несвіч Волинський)</t>
  </si>
  <si>
    <t>0722886801, Волинська область, Луцький район, Чаруків</t>
  </si>
  <si>
    <t>художник-модельєр</t>
  </si>
  <si>
    <t xml:space="preserve">моделювання, розробка та пошиття  моделей та фасонів трикотажних в'язаних виробів. </t>
  </si>
  <si>
    <t>майстер з ремонту</t>
  </si>
  <si>
    <t>ремонт електричної побутової техніки (праски,кавомолки,пилососи,міксери), попередньо телефонувати 771023 Віктор Станіславович</t>
  </si>
  <si>
    <t>майстер зміни</t>
  </si>
  <si>
    <t>майстер шляховий</t>
  </si>
  <si>
    <t>При проведенні ремонту автошляхів здійснювати згідно з чинними законодавчими і нормативними актами, які регулюють виробничо-господарську діяльність підприємства, керівництво виробничою дільницею; організовувати підготовку виробництва, забезпечувати розміщення робітників і бригад, контролювати додержання технологічних процесів, оперативно виявляти і ліквідувати причини їх порушення; організовувати впровадження передових методів і прийомів праці</t>
  </si>
  <si>
    <t>масажист</t>
  </si>
  <si>
    <t xml:space="preserve">Виконаня регламенту масажиста. Проводить згідно з рекомендаціями лікаря спортивний та лікувальний масаж.
</t>
  </si>
  <si>
    <t>.   добросовісне виконання своїх обов'язків</t>
  </si>
  <si>
    <t>методист</t>
  </si>
  <si>
    <t>методист з фізичної культури, ведення методичних організаційних питань</t>
  </si>
  <si>
    <t>механік</t>
  </si>
  <si>
    <t>/ Здійснює організацію правильної технічної експлуатації машин та обладнання, своєчасного і якісного їх ремонту. Телефон для інформації: 0-3344-3-21-15 (Наталія Шаравага)</t>
  </si>
  <si>
    <t>організація та контроль роботи механічної майстерні(Постачання запчастин до паливовозів).Знання 1С Бухгалтерія - замовлення.</t>
  </si>
  <si>
    <t>механік автомобільної колони (гаража)</t>
  </si>
  <si>
    <t>забезпечення технічного стану автотранспортних засобів на виробничій базі вантажних ТЗ (MAN, HOWO, МАЗ, КАМАЗ); планування та забезпечення виконання ТО та ремонту ТЗ; планування потреб парку в запасних частинах, облік витрат запасних частин, агрегатів, шин, акумуляторів, обладнання, паливно-мастильних матеріалів</t>
  </si>
  <si>
    <t>начальник відділу</t>
  </si>
  <si>
    <t>Начальник Служби у справах дітей. Реалізація державної політики у сфері захисту прав дитини; влаштування дітей-сиріт, дітей позбавлених батьківського піклування; захист інтересів дітей, які виховуються в прийомних сім'ях, дитячих будинках сімейного типу.</t>
  </si>
  <si>
    <t>0725081301, Волинська область, Старовижівський район, Дубечне</t>
  </si>
  <si>
    <t xml:space="preserve">начальник транспортного відділу , забезпечує своєчасну й комплектну поставку на об'єкти  будівельних матеріалів, конструкцій і деталей, раціональне використання транспортних засобів, здійснює організацію вантажно -розвантажувальних і транспортних робіт.Здійснює розподіл транспортних засобів і оперативний контроль. Здійснює розподіл транспортних засобів і оперативний контроль за їх використанням. Виконує розрахунки матеріально-технічних ресурсів (запасних частин, паливних і мастильних та інших матеріалів </t>
  </si>
  <si>
    <t>адміністратор системи</t>
  </si>
  <si>
    <t>технічний супровід та обслуговування програмного забезпечення, встановлення офісних програм та ОС, Upgrate ПК, відновлення пошкоджених файлів та втрачених даних. Підтримка, встановлення, тестування, налаштування програмного забезпечення</t>
  </si>
  <si>
    <t>бухгалтер</t>
  </si>
  <si>
    <t>0722185601, Волинська область, Ковельський район, Облапи (видалений)</t>
  </si>
  <si>
    <t>0722182602, Волинська область, Ковельський район, Воля-Ковельська</t>
  </si>
  <si>
    <t>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здійснювати економічний аналіз господарської діяльності; організовувати і проводити інвентаризацію майна; визначити форми і методи бухгалтерського обліку та технологію обробки облікової інформації; використовувати сучасну обчислювальну і комп'ютерну техніку та спеціалізовані комп'ютерні програми по бухгалтерському</t>
  </si>
  <si>
    <t>0720885405, Волинська область, Горохівський район, Старики</t>
  </si>
  <si>
    <t xml:space="preserve">/ Ведення фінансової та податкової звітності, облік сировини та виробничих матеріалів,  нарахування заробітної плати. Знання програми 1-С Бухгалтерія (8 версія). З/п + премії; </t>
  </si>
  <si>
    <t>Бухгалтер по роботі з землею (оренда, паї). Знання 1С версія 8,2 с/г підприємство.</t>
  </si>
  <si>
    <t>Самостійно і в повному обсязі веде облік необоротних активів, запасів, коштів, розрахунків та інших активів, власного капіталу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t>
  </si>
  <si>
    <t>Знання 1С Бухгалтерії обов"язково, впевнений користувач ПК</t>
  </si>
  <si>
    <t>/забезпечує ведення бухгалтерського обліку, фінансової документації, нараховує заробітну плату працівникам/</t>
  </si>
  <si>
    <t>виписка видаткової документації, прихід-розхід, прихідні касові, можливі відрядження для проведення ревізій. Знання 1С, word, exel.</t>
  </si>
  <si>
    <t>0722885002, Волинська область, Луцький район, Гаразджа</t>
  </si>
  <si>
    <t>знання бухгалтерського законодавства,1-С бухгалтерії,8 версія,заробітна плата плюс бонуси,Можливість викладання бухгалтерського обліку.</t>
  </si>
  <si>
    <t xml:space="preserve">робота в спільно українсько-польській компанії; разом з командою вести польський облік клієнтам компанії; знання польської мови; знання програми 1С-бухгалтерії, бухгалтерського і управлінського обліку; надавати консультації клієнтам по роботі в програмі 1С-бухгалтерії та розробці нових механізмів
командне планування зайнятості (технологія Kanban) </t>
  </si>
  <si>
    <t>.   облік матеріалів, подання звітності. Знання 1С.</t>
  </si>
  <si>
    <t xml:space="preserve">Заступник головного бухгалтера: знання стандартів бухобліку, досвід роботи на підприємстві, знання податкового обліку(робота з податковими накладними і реєстрація податкових накладних), досконале знання Медок, бух.1С, 8:3 версія </t>
  </si>
  <si>
    <t>викладач (методи навчання)</t>
  </si>
  <si>
    <t>обов’язки вчителя англійської мови.  Проведення уроків згідно розкладу, ведення графіку успішності студентів, участь в організації розважальних заходів, проведення мовних клубів.</t>
  </si>
  <si>
    <t>Викладач закладу вищої освіти</t>
  </si>
  <si>
    <t>/викладати дисципліни "інформатика", "Комп'ютеризація"</t>
  </si>
  <si>
    <t>Листоноша (поштар)</t>
  </si>
  <si>
    <t>0721882001, Волинська область, Ківерцівський район, Дерно</t>
  </si>
  <si>
    <t>Доставка пошти, пенсій, товарів народного споживання с.Липини. Матеріальна відповідальність</t>
  </si>
  <si>
    <t>супровід поштових відправлень, володіння зброєю</t>
  </si>
  <si>
    <t>Доставка пошти, пенсій, товарів народного споживання (с.Мельники - 0,5ст.). Матеріальна відповідальність</t>
  </si>
  <si>
    <t>0725755103, Волинська область, Шацький район, Мельники</t>
  </si>
  <si>
    <t>Доставка пошти, пенсій, товарів народного споживання (с.Чаруків - 0,7ст.). Матеріальна відповідальність</t>
  </si>
  <si>
    <t>Доставка пошти, пенсій, товарів народного споживання (с.Смолигів 0,7ст.). Матеріальна відповідальність</t>
  </si>
  <si>
    <t>0722886201, Волинська область, Луцький район, Смолигів</t>
  </si>
  <si>
    <t>Доставка пошти, пенсій, товарів народного споживання(0,6 ст.) с.Зміїнець. Матеріальна відповідальність</t>
  </si>
  <si>
    <t>0722883703, Волинська область, Луцький район, Зміїнець</t>
  </si>
  <si>
    <t>Доставка пошти, пенсій, товарів народного споживання с.Струмівка. Матеріальна відповідальність</t>
  </si>
  <si>
    <t>сортувальник поштових відправлень та виробів друку</t>
  </si>
  <si>
    <t>сортувальник групи обробки посилочної пошти в цеху оброблення пошти, навантажувально-розвантажувальні роботи</t>
  </si>
  <si>
    <t>контролер-касир</t>
  </si>
  <si>
    <t>заступник начальника відділу</t>
  </si>
  <si>
    <t>начальник відділу поштового зв'язку</t>
  </si>
  <si>
    <t>начальник відділення поштового зв'язку(0,8 ст. с.Мишів) здійснює операційне управління відділенням: обслуговування клієнтів(приймання платежів, посилок, продаж товарів народного споживання,знаків поштової оплати)</t>
  </si>
  <si>
    <t>0721155107, Волинська область, Іваничівський район, Мишів</t>
  </si>
  <si>
    <t>начальник відділення поштового зв'язку(0,8 ст. с.Луковичі) здійснює операційне управління відділенням: обслуговування клієнтів(приймання платежів, посилок, продаж товарів народного споживання,знаків поштової оплати)</t>
  </si>
  <si>
    <t>0721182801, Волинська область, Іваничівський район, Луковичі</t>
  </si>
  <si>
    <t>головний інженер</t>
  </si>
  <si>
    <t xml:space="preserve">Забезпечення безперебійного функціонування енергетичного, газового та водопостачального господарства; обладнання деревообробного виробництва. Забезпечення безперебійної роботи устаткування. Здійснення планово-попереджувальних ремонтів.
"Тимчасово припинено набір персоналу на час карантину"   Дзвінок 25.03.2020  13.20 год.
</t>
  </si>
  <si>
    <t>начальник дільниці</t>
  </si>
  <si>
    <t>начальник форматно-розкрійної дільниці і тюнінгу;Організація і контроль.Приймання,контроль виконання замовлень;Контроль роботи деревообробних верстатів;Контроль за проведенням розкрою, розпилу, кромкуванням, ДСП,ДВП,ОСБ, фанери, стільниці;Установлення та знімання деталей після обробки;Контроль врізання фурнітури в двері; Встановлення меблевих навісів, скла у дверне полотно, підрізання коробок до дверного полотна, підрізання лиштви, порізки скла.Забезпечення бережного використання інструментів.</t>
  </si>
  <si>
    <t>інженер з охорони праці</t>
  </si>
  <si>
    <t xml:space="preserve">0,5 ставки. Здійснює контроль за додержанням у підрозділах підприємства чинного законодавства, правил, стандартів, норм, положень, інструкцій з охорони праці, протипожежного захисту і охорони навколишнього середовища, організовує атестацію робочих місць. Робота 4 год. в день  </t>
  </si>
  <si>
    <t>Регулярна планова і позапланова перевірка відповідності рівня безпеки в кожному окремому цеху або підрозділі. Повний документальний супровід щодо охорони праці.</t>
  </si>
  <si>
    <t>Проведення інструктажів з охорони праці, техніки безпеки, пожежної безпеки, ведення необхідної документації.Контроль за виконанням вимог охорони праці на виробництві.Розробка положень, інструктажів, інструкцій, наказів і розпоряджень з охорони праці та пожежної безпеки.Організація та контроль проведення атестації робочих місць.Взаємодія з контролюючими та інспектуючими структурами.Подання відповідної звітності.Проведення навчань та превірки знань з ОП.Оклад + %.Наявність необхідних посвідчень.</t>
  </si>
  <si>
    <t>лікар з ультразвукової діагностики</t>
  </si>
  <si>
    <t>лікар загальної практики-сімейний лікар</t>
  </si>
  <si>
    <t>0722482401, Волинська область, Локачинський район, Затурці</t>
  </si>
  <si>
    <t>/Забезпечення населення первинно-медичною допомогою.Виконання інших функцій медичного спрямуваннявідповідно до укладеного договору</t>
  </si>
  <si>
    <t>0724286401, Волинська область, Ратнівський район, Річиця</t>
  </si>
  <si>
    <t>лікар-педіатр-неонатолог</t>
  </si>
  <si>
    <t>лікар-психолог</t>
  </si>
  <si>
    <t>лікар-трансфузіолог</t>
  </si>
  <si>
    <t>майстер виробничого навчання водінню</t>
  </si>
  <si>
    <t>Практичне навчання учнів водінню.</t>
  </si>
  <si>
    <t>Аналітик консолідованої інформації</t>
  </si>
  <si>
    <t>25.03.2020,12:00 "Тимчасово припинено набір персоналу на період карантину" 
Проводить комплексне дослідження внутрішнього та зовнішнього ринків товарів. Вивчає та аналізує становище підприємства або товару на ринку. Комплексно аналізує потреби споживачів та їх поведінку на окремих сегментах ринку,оцінює вплив соціальних та демографічних факторів на стан ринку. Оцінює конкурентоспроможність товарів та послуг і розробляє пропозиції щодо підвищення її рівня та оптимізації товарного асортименту і т.д
Відповіда</t>
  </si>
  <si>
    <t>Технік-електрик</t>
  </si>
  <si>
    <t>Знання основ електротехніки; будови і принципів роботи  генераторів, трансформаторів,  акумуляторів і електроприладів; основних видів електротехнічних матеріалів, їх властивості і призначення, правил і способів монтування і ремонту електроустаткування в обсязі виконуваної роботи.</t>
  </si>
  <si>
    <t>/ Робота в цеху.</t>
  </si>
  <si>
    <t>Технік-землевпорядник</t>
  </si>
  <si>
    <t>Прийняття замовлень на виготовлення документацій та їх видача замовникам. Формування документації, ведення документообігу. Копіювання необхідних для роботи документів та сканування розробленої документації
 Відповідальний -   Ганна Василівна, 03352 71140</t>
  </si>
  <si>
    <t>агроном</t>
  </si>
  <si>
    <t>Підготовка грунту до посіву, посадки та внесення добрив; контроль за організацією і проведенням польових робіт; якісна взаємодія з іншими виробничими підрозділами.</t>
  </si>
  <si>
    <t>лікар-імунолог</t>
  </si>
  <si>
    <t xml:space="preserve">В обов'язки епідеміолога входять аналіз епідеміологічної ситуації в окремо взятому регіоні, дослідження вогнищ зараження, розробка заходів, спрямованих на придушення епідемії.
</t>
  </si>
  <si>
    <t>Вчитель-логопед</t>
  </si>
  <si>
    <t>Розробляє і вдосконалює навчально-корекційні програми. Здійснює навчальну, корекційну, компенсаційну, реабілітаційну роботу з дітьми, які мають мовленнєві порушення.  Вивчає та фіксує динаміку розвитку дітей.
ВІдповідальний - Зоряна Василівна: 0335250316</t>
  </si>
  <si>
    <t>Юрист</t>
  </si>
  <si>
    <t>підготовка та складання договорів, контрактів,участь у підготовці юридичних висновків, консультування з  з різних правових аспектів,участь у переговорах з клієнтами, юристами, які представляють  контрагентів по угодах, представлення клієнта у судах, в різних органах державної влади.</t>
  </si>
  <si>
    <t>Практичний психолог</t>
  </si>
  <si>
    <t xml:space="preserve">/ забезпечує своєчасне і систематичне вивчення психічного розвитку особистості, мотивів її діяльності і поведінки, сприяє забезпеченню повноцінному психічному розвиткові дітей, створенню умов для самовиховання, саморозвитку, виконання виховних і освітніх завдань навчально-виховних закладів.
0 (3376) 22838 - Дарина Андріївна </t>
  </si>
  <si>
    <t>0723685901, Волинська область, Маневицький район, Рудники (видалений)</t>
  </si>
  <si>
    <t>машиніст крана (кранівник)</t>
  </si>
  <si>
    <t>машиніст баштового крану, працювати на будівництві</t>
  </si>
  <si>
    <t>машиніст автовишки та автогідропідіймача</t>
  </si>
  <si>
    <t>робота на спеціалізованому вантажному автопідйомнику ЗІЛ; висота підіймання до 22 метрів; наявність робітничої кваліфікації машиніста автовишки</t>
  </si>
  <si>
    <t>водій навантажувача</t>
  </si>
  <si>
    <t>/Виконувати навантажувальні та розвантажувальні роботи на маніпуляторі, кандидату на посаду обов'язково мати посвідчення водія категорії "С" та "Е".</t>
  </si>
  <si>
    <t>/ Керує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 Проводить технічне обслуговування і поточний ремонт навантажувача і всіх його механізмів. Визначає несправності в роботі навантажувача, його механізмів і усуває їх. Встановлює і замінює знімні вантажозахоплювальні пристрої та механізми. Бере участь у проведенні планово-запобіжного ремонту навантажувача.</t>
  </si>
  <si>
    <t>погрузочно-розгрузочні роботи на лісопильному виробництві, наявність  посвідчення .</t>
  </si>
  <si>
    <t xml:space="preserve">виконання обов'язків водія електронавантажувача ,перевезення макулатури та готової продукції. </t>
  </si>
  <si>
    <t>підсобний робітник</t>
  </si>
  <si>
    <t xml:space="preserve">/ розробка та навішування м'яса птиці, зважування продукції. </t>
  </si>
  <si>
    <t xml:space="preserve"> / підсобні роботи в деревопереробному цеху, дотримання правил техніки безпеки та охорони праці</t>
  </si>
  <si>
    <t xml:space="preserve">  .Виконує підсобні та допоміжні роботи на виробничих дільницях , складах, коморах тощо. Виконує вантаження, вивантаження, переміщення вручну та на візках (вагонетках) і укладання вантажів різних видів: рулонні матеріали, паркет у пачках, ящики, бочки, картон, папір, фанеру, пиломатеріали тощо, сипкі непиловидні матеріали (пісок, щебінь, гравій, шлак, вугілля, сміття, деревна тирса, металева стружка та інші відходи виробництва), скло, пляшки, пляшки з рідиною, вогненебезпечні та отруйні речовини тощо, пило</t>
  </si>
  <si>
    <t>0722484201, Волинська область, Локачинський район, Марковичі</t>
  </si>
  <si>
    <t>0722481801, Волинська область, Локачинський район, Дорогиничі</t>
  </si>
  <si>
    <t>/виготовлення паливних гранул</t>
  </si>
  <si>
    <t>Підсобний робітник на шиномонтаж</t>
  </si>
  <si>
    <t>0723682202, Волинська область, Маневицький район, Велика Яблунька</t>
  </si>
  <si>
    <t>виконувати підсобні роботи в цеху</t>
  </si>
  <si>
    <t>/виконувати роботи різного характеру</t>
  </si>
  <si>
    <t>Виконання простих некваліфікованих робіт на лісозаготівлях (прибирання відходів, гілок, зачистка ділянок, спалювання залишків). Дотримання техніки безпеки та протипожежної безпеки.</t>
  </si>
  <si>
    <t>0724582904, Волинська область, Рожищенський район, Тростянка</t>
  </si>
  <si>
    <t>порізка дров, дрібні підсобні роботи</t>
  </si>
  <si>
    <t>виконання дрібного поточного ремонту різного плану, прибирання території та інших підсобних робіт</t>
  </si>
  <si>
    <t>виконання підсобних робіт на будівництві</t>
  </si>
  <si>
    <t>головний інженер проекту</t>
  </si>
  <si>
    <t>Лицювальник-плиточник</t>
  </si>
  <si>
    <t xml:space="preserve">Виконує прості роботи під час облицювання керамічними, скляними, азбестоцементними та іншими плитками.
</t>
  </si>
  <si>
    <t>Штукатур</t>
  </si>
  <si>
    <t xml:space="preserve">/Обштукатурювання поверхонь та ремонт штукатурки/
</t>
  </si>
  <si>
    <t xml:space="preserve">виконання роботи середньої складності під час обштукатурювання поверхонь, виконання штукатурок спеціального призначення (гідроізоляційних, газоізоляційних, звуковбирних, термостійких), склад та способи приготування декоративних розчинів, розчинів для штукатурки спеціального призначення та бетонів для торкретування, способи виконання поліпшеної штукатурки
</t>
  </si>
  <si>
    <t>проведення дрібного ремонту будівель підприємства</t>
  </si>
  <si>
    <t>Маляр</t>
  </si>
  <si>
    <t xml:space="preserve">Поверхні сухими порошками, різними фарбами та лаками у кілька тонів, здійснює шліфування, лакування, полірування, шпаклювання, ґрунтування і прооліфлення їх механізованим інструментом.
</t>
  </si>
  <si>
    <t>підготовка до фарбування (рихтовка, шпаклівка), полірування, фарбування автомобілів, кузова; 
робота на станції технічного обслуговування в ПАТ "Волинь-Авто" по вул.Рівненській, 145</t>
  </si>
  <si>
    <t>вафельник (кондитерське виробництво)</t>
  </si>
  <si>
    <t>завантажувач-вивантажувач харчової продукції</t>
  </si>
  <si>
    <t>завантаження та вивантаження харчової продукції (соуси). Пунктуальність, відповідальність</t>
  </si>
  <si>
    <t>касир торговельного залу</t>
  </si>
  <si>
    <t>Продаж продуктів харчування, випічки та алкогольних напоїв через касовий апарат, 
Графік роботи: з 07.00 до 22.00 год.
Два дня через два</t>
  </si>
  <si>
    <t>викладка товару на полицях,  заміна цінників, контроль за наявністю цінників, контроль термінів зберігання продукції, консультування покупців, дотримуватись стандартів обслуговування покупців, правил торгівлі, внутрішніх стандартів розміщення, зберігання та реалізація продовольчих товарів та товарів широкого вжитку</t>
  </si>
  <si>
    <t xml:space="preserve">швидке та якісне обслуговування покупців, проводить розрахунок з покупцями за придбані товари, вироби, послуги. Здійснення обліку, видачі та збереження грошей з обов'язковим дотриманням правил їх збереження, знання з кодування товарів; 
супермаркет "Наш Край" м. Луцьк вул. Шевченка, 13;
</t>
  </si>
  <si>
    <t xml:space="preserve">швидке та якісне обслуговування покупців, проводить розрахунок з покупцями за придбані товари, вироби, послуги. Здійснення обліку, видачі та збереження грошей з обов'язковим дотриманням правил їх збереження, знання з кодування товарів; 
супермаркет "Наш Край" м. Луцьк вул. Львівська, 61;
</t>
  </si>
  <si>
    <t xml:space="preserve">швидке та якісне обслуговування покупців, проводить розрахунок з покупцями за придбані товари, вироби, послуги. Здійснення обліку, видачі та збереження грошей з обов'язковим дотриманням правил їх збереження, знання з кодування товарів; 
супермаркет "Наш Край" м. Луцьк пр. Соборності, 6;
</t>
  </si>
  <si>
    <t xml:space="preserve">видке та якісне обслуговування покупців, проводить розрахунок з покупцями за придбані товари, вироби, послуги. Здійснення обліку, видачі та збереження грошей з обов'язковим дотриманням правил їх збереження, знання з кодування товарів; 
супермаркет "Наш Край" м. Луцьк пр. Відродження, 18;
</t>
  </si>
  <si>
    <t xml:space="preserve">25.03.2020 року 15.27 год. тимчасово припинено набір персоналу на час карантину
швидке та якісне обслуговування покупців, проводить розрахунок з покупцями за придбані товари, вироби, послуги. Здійснення обліку, видачі та збереження грошей з обов'язковим дотриманням правил їх збереження, знання з кодування товарів; 
супермаркет "Наш Край" м. Сміла вул. Чорновола, 4а;
</t>
  </si>
  <si>
    <t xml:space="preserve">швидке та якісне обслуговування покупців, проводить розрахунок з покупцями за придбані товари, вироби, послуги. Здійснення обліку, видачі та збереження грошей з обов'язковим дотриманням правил їх збереження, знання з кодування товарів; 
супермаркет "Наш Край" м. Луцьк вул. Конякіна, 7-А;
</t>
  </si>
  <si>
    <t xml:space="preserve">25.03.2020 року 15.40 год. тимчасово припинено набір персоналу на час карантину
швидке та якісне обслуговування покупців, проводить розрахунок з покупцями за придбані товари, вироби, послуги; здійснення обліку, видачі та збереження грошей з обов'язковим дотриманням правил їх збереження, знання з кодування товарів; 
супермаркет "Наш Край" м. Дубно вул. Мирогощанська, 1; 
</t>
  </si>
  <si>
    <t>5610300000, Рівненська область, Дубно</t>
  </si>
  <si>
    <t xml:space="preserve">25.03.2020 року 15.41 год. тимчасово припинено набір персоналу на час карантинушвидке та якісне обслуговування покупців, проводить розрахунок з покупцями за придбані товари, вироби, послуги; здійснення обліку, видачі та збереження грошей з обов'язковим дотриманням правил їх збереження, знання з кодування товарів; 
супермаркет "Наш Край" м. Дубно вул. Мирогощанська, 1; 
</t>
  </si>
  <si>
    <t xml:space="preserve">25.03.2020 року 15.30 год. тимчасово припинено набір персоналу на час карантину
швидке та якісне обслуговування покупців, проводить розрахунок з покупцями за придбані товари, вироби, послуги. Здійснення обліку, видачі та збереження грошей з обов'язковим дотриманням правил їх збереження, знання з кодування товарів; 
супермаркет "Наш Край" м. Радивилів вул. Почаївська, 33;
</t>
  </si>
  <si>
    <t>розрахунок клієнтів на касі,зведення каси. Робота в магазині "Спар експрес" с.Зміїнець вул.Ліскова, 11</t>
  </si>
  <si>
    <t>обслуговування та розрахунок покупців на касі гіпермаркету Там Там, сканування товарів, знання ПК</t>
  </si>
  <si>
    <t>керуючий магазином</t>
  </si>
  <si>
    <t xml:space="preserve">/Знання основ психології та етики в торгівлі, організацію нормування та оплати праці; трудове законодавство;правила проведення інвентаризації товарно-матеріальних цінностей; правила роботи магазину та внутрішнього трудового розпорядку.
Контактний телефон 0365 2 14 69 Тетяна Володимирівна.
</t>
  </si>
  <si>
    <t>організація роботи магазину, виконання плану продажів, управління товарним запасом магазину, підбір та навчання персоналу, контроль касової дисципліни, звітність; управлінські навички, аналітичні здібності, спрямованість на результат.</t>
  </si>
  <si>
    <t xml:space="preserve">25.03.2020 року 15.39 год. тимчасово припинено набір персоналу на час карантину
організація роботи магазину, виконання плану продажів, управління товарним запасом магазину, робота з органами місцевої влади (отримання і надання необхідної документації), підбір та навчання персоналу, контроль касової дисципліни, звітність; управлінські навички, аналітичні здібності, спрямованість на результат, клієнтоорієнтованість;
супермаркет "Наш Край" м. Тульчин вул. Леонтовича, 60; 
</t>
  </si>
  <si>
    <t>0524310100, Вінницька область, Тульчинський район, Тульчин</t>
  </si>
  <si>
    <t>керівник музичний</t>
  </si>
  <si>
    <t>інженер</t>
  </si>
  <si>
    <t>інженер у Ковельський міськрайонний виробничий відділ; розробляє технічні та робочі проекти і кошториси землевпорядної документації із землеустрою, погоджує технічну документацію</t>
  </si>
  <si>
    <t>інженер відділу експлуатації будівель та інфраструктури забезпечує ведення договірної роботи з комунальними службами, оплату рахунків, аналізує витрати</t>
  </si>
  <si>
    <t>інженер у Локачинський районний виробничий відділ; розробляє технічні та робочі проекти і кошториси землевпорядної документації із землеустрою, погоджує технічну документацію</t>
  </si>
  <si>
    <t>інженер у Любомльський районний виробничий відділ; розробляє технічні та робочі проекти і кошториси землевпорядної документації із землеустрою, погоджує технічну документацію</t>
  </si>
  <si>
    <t>інженер у Ратнівський районний виробничий відділ; розробляє технічні та робочі проекти і кошториси землевпорядної документації із землеустрою, погоджує технічну документацію</t>
  </si>
  <si>
    <t>інженер у Турійський районний виробничий відділ; розробляє технічні та робочі проекти і кошториси землевпорядної документації із землеустрою, погоджує технічну документацію</t>
  </si>
  <si>
    <t>інженер у Іваничівський районний виробничий відділ; розробляє технічні та робочі проекти і кошториси землевпорядної документації із землеустрою, погоджує технічну документацію</t>
  </si>
  <si>
    <t>інженер у Луцький міський виробничий відділ; розробляє технічні та робочі проекти і кошториси землевпорядної документації із землеустрою, погоджує технічну документацію</t>
  </si>
  <si>
    <t>директор відділення</t>
  </si>
  <si>
    <t>директор навчально-виховного закладу (середньої загальноосвітньої школи, спеціалі-зованої школи, гім</t>
  </si>
  <si>
    <t>директор НВК "ЗОШ І - ІІІ ступеня - гімназія" смт Стара Вижівка. Здійснює загальне керівництво всіма напрямами діяльності школи у відповідності з її Статутом і законодавством України, спільно з радою школи визначає стратегію, мету і завдання розвитку школи, приймає рішення про програмне планування її роботи, здійснює розробку, затвердження і впровадження програм розвитку закладу, освітніх програм, навчальних планів, курсів, дисциплін, річних календарних навчальних графіків і т.д.</t>
  </si>
  <si>
    <t>начальник відділу технічного контролю</t>
  </si>
  <si>
    <t>/ Організовує проведення робіт з контролю якості продукції, що виробляє підприємство, виконання робіт (послуг) відповідно до вимог стандартів і технічних умов. Телефон для інформації: 0-3344-3-21-15 (Наталія Шаравага)</t>
  </si>
  <si>
    <t>вихователь</t>
  </si>
  <si>
    <t>вчитель-дефектолог</t>
  </si>
  <si>
    <t>0722182401, Волинська область, Ковельський район, Дубове</t>
  </si>
  <si>
    <t>інженер з метрології</t>
  </si>
  <si>
    <t>калібрування засобів вимірювальної техніки, здійснення спеціальними приладами замірів показників газових лічильників, підготовка висновків за результатами перевірки і вимірів</t>
  </si>
  <si>
    <t>інженер з організації експлуатації та ремонту</t>
  </si>
  <si>
    <t>представник торговельний</t>
  </si>
  <si>
    <t>провізор</t>
  </si>
  <si>
    <t>професійна компетентність згідно кваліфікаційних вимог, замовлення та прийом товару, контроль умов зберігання і терміну придатності товарів, відпуск товару покупцям, вміння працювати на ПК, знання нормативної документації</t>
  </si>
  <si>
    <t>6110100000, Тернопільська область, Тернопіль</t>
  </si>
  <si>
    <t>секретар</t>
  </si>
  <si>
    <t xml:space="preserve"> Друкує за вказівкою керівника різні матеріали. Веде діловодство, приймає кореспонденцію, яка надходить на ім’я керівника, здійснює її систематизацію, відповідно до прийнятого на підприємстві порядку і передає після її розгляду керівником до підрозділів або конкретним виконавцям для використання в процесі їх роботи або підготовки відповіді. Стежить за строками виконання доручень керівника, взятих на контроль. Претендент на посаду повинен мати юридичну освіту. Графік з 9год до 18 год. </t>
  </si>
  <si>
    <t>0723386502, Волинська область, Любомльський район, Руда</t>
  </si>
  <si>
    <t>секретар керівника (організації, підприємства, установи)</t>
  </si>
  <si>
    <t>Участь у плануванні потреб та видатків. Планування, організація, участь  і проведення закупівель. Договірна робота. Наявність свідоцтва про підвищення рівня кваліфікації у сфері публічних закупівель</t>
  </si>
  <si>
    <t>секретар-друкарка</t>
  </si>
  <si>
    <t>начальник зміни (промисловість)</t>
  </si>
  <si>
    <t>/ контроль ходу виробництва і виконання змінних завдань. За детальною інформацією звертатися по телефону: 03344-32115 (Коритко Ірина).</t>
  </si>
  <si>
    <t>лікар-вірусолог</t>
  </si>
  <si>
    <t>Спеціаліст державної служби (місцевого самоврядування)</t>
  </si>
  <si>
    <t>провідний спеціаліст відділу фінансового, бухгалтерського обліку, звітності та господарського забезпечення: забезпечення правильності ведення бухгалтерського обліку, заповнення  первинних документів, ведення та зберігання їх у реєстрах та меморіальних ордерах</t>
  </si>
  <si>
    <t>Фахівець із організації дозвілля</t>
  </si>
  <si>
    <t>Догляд за дітками в дитячій кімнаті та майданчик на території ресторану. Вміння зацікавити та розважити діток.</t>
  </si>
  <si>
    <t>машиніст мийної установки</t>
  </si>
  <si>
    <t>юрисконсульт</t>
  </si>
  <si>
    <t>електромеханік</t>
  </si>
  <si>
    <t xml:space="preserve">Здійснює дефектування (перевірку), обслуговування і ремонт електрообладнання автомобілів. Знати будову та принцип роботи систем електрообладнання автомобільної техніки марок: ЗІЛ, ГАЗ, УАЗ, КамАЗ, КраЗ. Неухильно виконувати вимоги законодавства з охорони праці, дотримуватись правил техніки безпеки та пожежної охорони. </t>
  </si>
  <si>
    <t>обслуговування, ремонт та усунення несправностей електричних приладів в авто;
робота на СТО с. Рованці вул. Промислова, 12</t>
  </si>
  <si>
    <t>паркувальник</t>
  </si>
  <si>
    <t>фотограф (фотороботи)</t>
  </si>
  <si>
    <t>заготівельник продуктів і сировини</t>
  </si>
  <si>
    <t>заготівля лікарських рослин з дотриманням санітарних норм</t>
  </si>
  <si>
    <t>0721485401, Волинська область, Камінь-Каширський район, Нові Червища</t>
  </si>
  <si>
    <t>водій автотранспортних засобів</t>
  </si>
  <si>
    <t>Керування автотранспортними засобами, які належать до категорії Е. Перевезення вантажів по території України</t>
  </si>
  <si>
    <t>Професійне керування транспортним засобом,дотримання технічних вимог,правил експлуатації закріпленої за ним техніки. Забезпечує належний технічний стан транспортного засобу.
Відповідальний консультант:(033) 7221642 Оксана Боярчук</t>
  </si>
  <si>
    <t xml:space="preserve"> / Керує  автомобільними транспортними засобами за різних дорожніх та кліматичних умов з урахуванням будови, технічних можливостей і вимог правил експлуатації закріпленої за ним техніки та обладнання.
 Виконує вимоги правил дорожнього руху, правил перевезення вантажів та людей.
Забезпечує належний технічний стан атомобіля.
</t>
  </si>
  <si>
    <t xml:space="preserve"> / керувати вантажним автомобілем , дотримючись правил  дорожнього руху, утримання автомобіля в справному стані</t>
  </si>
  <si>
    <t>0721885801, Волинська область, Ківерцівський район, Прилуцьке</t>
  </si>
  <si>
    <t xml:space="preserve">/ відрядження по Україні </t>
  </si>
  <si>
    <t>/Робота на автомобілях категорії "В". Готовність до відряджень за межами району і області.</t>
  </si>
  <si>
    <t>/Робота на автомобілі МАН по перевозці вантажу за кордон. Готовність до відряджень.</t>
  </si>
  <si>
    <t>/Робота на автомобілі ДАФ з напівпрічіпом</t>
  </si>
  <si>
    <t>/Робота на автомобілі ВОЛЬВО з напівпрічіпом. Готовність до відряджень за кордон.</t>
  </si>
  <si>
    <t>/ перевезення вантажів  автомобілем  МАЗ та ЗІЛ в межах Волинської області. Знання  правил дорожнього руху; правил перевезення та закріплення вантажів, слідкувати за технічним  станом, цілісністю і зберіганням  транспортного засобу</t>
  </si>
  <si>
    <t>0725084602, Волинська область, Старовижівський район, Борзова</t>
  </si>
  <si>
    <t>0725580401, Волинська область, Турійський район, Бобли</t>
  </si>
  <si>
    <t>Здійснювати міжнародні вантажні перевезення до країн Європи (Німеччини, Франції). Наявність закордонного біометричного паспорта, картки водія, полісу обов'язкового медичного страхування для виїзду до країн Європи.</t>
  </si>
  <si>
    <t>водій - далекобійник, завантаження та вивантаження вантажів, знання митного, транспортного, міжнародного законодавства.Знання правил дорожнього руху і будови автомобіля, тримати автомобіль у належному робочому стані</t>
  </si>
  <si>
    <t>водій автотранспортних засобів на вантажні автомобілі,("КАМАЗ", "МАЗ",  "ДАФ")</t>
  </si>
  <si>
    <t>надання автотранспортних послуг легковим автомобілем ВАЗ -21104</t>
  </si>
  <si>
    <t>обовязки водія самоскида "Сканія К-124". Поїздки по Луцьку та Волинській області, перевезення будівельних матеріалів (пісок, щебінь)</t>
  </si>
  <si>
    <t xml:space="preserve">Перевезення вантажу на автомобілі "Камаз", "Валдай". Відрядження по Україні. Наявність посвідчення водія автонавантажувача. </t>
  </si>
  <si>
    <t>Здійснення міжнародних вантажних перевезень по Європі. З/п + премії. Наявність прав водія категорії "СЕ"</t>
  </si>
  <si>
    <t xml:space="preserve">водій на молокоцистерну ГАЗ-53; збір молока по регіонах; погрузка молока до 40 кг
</t>
  </si>
  <si>
    <t xml:space="preserve">здійснення перевезення вантажів вантажними автомобілями по Україні та за кордоном, утримання автотранспортного засобу в належному стані; дотримання правил безпеки руху. </t>
  </si>
  <si>
    <t>перевезення паливо-мастильних матеріалів автомобілями VOLVO(паливовози)</t>
  </si>
  <si>
    <t>26.03.20р. 10.14год. тимчасово припинено набір персоналу на час карантину.вантажні перевезення по території України та за кордон, оклад + відрядні, дотримання правил дорожнього руху, слідкувати за збереженням довірених вантажів</t>
  </si>
  <si>
    <t>слюсар-електрик з ремонту електроустаткування</t>
  </si>
  <si>
    <t>/Розбирає прилади (агрегати) електроустаткування на окремі складові одиниці.Очищає ,промиває,протираєтта продуває стисненим повітрям деталі , прилади , агрегати електроустаткування автомобілів із застосуванням простих ручних пристроїв і обладнання.</t>
  </si>
  <si>
    <t>0720581606, Волинська область, Володимир-Волинський район, Федорівка</t>
  </si>
  <si>
    <t xml:space="preserve">Забезпечує підтримку справного стану та  роботу обслуговуваних пристроїв та електроустаткування,Розбирає, ремонтує, складає   електроприлади.
</t>
  </si>
  <si>
    <t>0720888301, Волинська область, Горохівський район, Холонів</t>
  </si>
  <si>
    <t>Виконання роботи згідно посадової інструкції.</t>
  </si>
  <si>
    <t>помічник машиніста тепловоза</t>
  </si>
  <si>
    <t>складач поїздів</t>
  </si>
  <si>
    <t xml:space="preserve">робота ст.Луцьк, керувати рухом маневрового локоматива через радіозвязок, подавати ручні та звук.сигнали, забезпеч.правильного розміщ.і погодженість дій робітників, що беруть уч.у викон.маневрів, формув.і розформ.поїздів і груп вагонів, причіпл.і відчипл.вагони до поїздів, подавати вагони на вантаж.-розвантаж.та ін.спеціалізов.колії і прибирає їх з цих колій, переставл. вагони і поїзди з колії на кол., з парку в парк. </t>
  </si>
  <si>
    <t>Завідувач канцелярії</t>
  </si>
  <si>
    <t>Організовує роботу канцелярії.Забезпечує своєчасне оброблення кореспонденції, що надходить та відправляється, її доставляння за призначенням.Здійснює контроль за строками виконання документів та їх правильним оформленням.Організовує роботу з реєстрації, обліку, зберігання та передавання до відповідних структурних підрозділів документів поточного діловодства, у тому числі наказів і розпоряджень керівництва, з формування справ та їх здавання на зберігання.</t>
  </si>
  <si>
    <t>монтажник</t>
  </si>
  <si>
    <t>майстер зовнішньої реклами,заробітна плата  + премія( зар/пл від 8000 грн), володіти технологіями і навиками виготовлення та монтажу зовнішньої реклами за дизайнерськими проектами, вміти планувати та організовувати роботу, відповідати за кінцевий результат</t>
  </si>
  <si>
    <t>діловод</t>
  </si>
  <si>
    <t>економіст</t>
  </si>
  <si>
    <t>оформлення та видача  кредитів готівкою та на придбання споживчих товарів</t>
  </si>
  <si>
    <t>0721883601, Волинська область, Ківерцівський район, Звірів</t>
  </si>
  <si>
    <t>електрик дільниці</t>
  </si>
  <si>
    <t>0722187401, Волинська область, Ковельський район, Поворськ</t>
  </si>
  <si>
    <t>обслуговування мережі в ТЦ "Глобус"</t>
  </si>
  <si>
    <t>електрик цеху</t>
  </si>
  <si>
    <t>/ контроль за роботою і ремонт електрообладнання цеху, ремонт електромережі цеху. За детальною інформацією звертатися по телефону : 0-3344-3-21-15 (Коритко Ірина)</t>
  </si>
  <si>
    <t>технолог</t>
  </si>
  <si>
    <t>розробка, впровадження і постійна актуалізація техніко -технологічної нормативної документації(взуттєва галузь)</t>
  </si>
  <si>
    <t xml:space="preserve">виробництво меблів, підготовка технічної документації, знання програми "PRO 100". </t>
  </si>
  <si>
    <t xml:space="preserve">технолог по переробці пластмас,виконувати обовязки помічника провідного інженера-технолога, обслуговування виробництва  поліетиленової плівки
розмір заробітної плати може сягати до 10000,00 грн (можливі надбавки)   </t>
  </si>
  <si>
    <t>технік</t>
  </si>
  <si>
    <t>здійснення ремонту апаратури штучної нирки, досвід роботи не обов'язковий( навчать!!), будь-яка освіта-біологічна або комп'ютерна  (оклад+ премія)</t>
  </si>
  <si>
    <t>технік у Іваничівський районний виробничий відділ; розробка і підготовка документів з інвентаризації нерухомого майна, розробка кошторисів</t>
  </si>
  <si>
    <t>технік у Горохівський районний виробничий відділ; розробка і підготовка документів з інвентаризації нерухомого майна, розробка кошторисів</t>
  </si>
  <si>
    <t>технік у Луцький міський виробничий відділ; розробка і підготовка документів з інвентаризації нерухомого майна, розробка кошторисів</t>
  </si>
  <si>
    <t>технік з експлуатації мереж і споруд водо-провідноканалізаційного господарства</t>
  </si>
  <si>
    <t>контроль за роботою систем водопостачання та водовідведення</t>
  </si>
  <si>
    <t>укладальник-пакувальник</t>
  </si>
  <si>
    <t>електромонтер з ескізування трас ліній електропередачі</t>
  </si>
  <si>
    <t>Складає ескізи планів трас повітряних ліній (ПЛ). Виготовляє плани на нові ПЛ на кальці за ескізами і здійснює коригування існуючих планів ПЛ на кальці. Складає паспортні дані на вперше побудовані ПЛ. Веде технічну документацію за адресами</t>
  </si>
  <si>
    <t>лаборант (біологічні дослідження)</t>
  </si>
  <si>
    <t>Підготовка біооб'єктів: зважування, подрібнення, екстракція. Допомога лікарю судово- медичному експерту при роботі. Ведення журналів, друк актів, ведення архіву  паперового та біооб'єктів.</t>
  </si>
  <si>
    <t>лікар ветеринарної медицини</t>
  </si>
  <si>
    <t>головний архітектор проекту</t>
  </si>
  <si>
    <t xml:space="preserve">Пошук замовлень, робота із замовниками та укладання договорів,організація виробничої,технічної та творчої діяльності виробничого колективу.,здійснення технічного керівництва пректно-вишукувальними роботами пвд час проектування об’’єкта. </t>
  </si>
  <si>
    <t>головний бухгалтер</t>
  </si>
  <si>
    <t xml:space="preserve"> / Організує  та контролює роботу бухгалтерської служби, контроль за відображенням на рахунках бухгалтерського обліку всіх господарських операцій приватного підприємства, подача податкової та статистичної звітності.</t>
  </si>
  <si>
    <t>/ забезпечує дотримання на підприємстві встановлених єдиних методологічних засад бухобліку, складання і подання у встановлені строки фінзвітності, організовує контроль за відображенням на рахунках бухобліку всіх госпоперацій;
0(3376)22838  Оксана Мілентіївна</t>
  </si>
  <si>
    <t>0723683001, Волинська область, Маневицький район, Комарове</t>
  </si>
  <si>
    <t>/Здійснює контроль за дотриманням порядку оформлення первинних і бухгалтерських документів, розрахунків і платіжних зобов’язань. Очолює роботу з підготовки та прийняття робочого плану рахунків, форм первинних облікових документів, які застосовуються для оформлення господарських операцій, за якими не передбачені типові форми, розробки форм документів внутрішньої бухгалгерської звітності, а також забезпечення порядку проведення інвентаризацій, контролю за проведенням господарських операцій/</t>
  </si>
  <si>
    <t>.   ведення бухгалтерського обліку, первинна документація, здача звітності</t>
  </si>
  <si>
    <t>ведення бухгалтерського та податкового обліку, реєстрація податкових накладних, нарахування заробітної плати та відрахувань, кадровий облік, робота з клієнт банк.</t>
  </si>
  <si>
    <t>інженер з транспорту</t>
  </si>
  <si>
    <t>Відповідальний за автотранспорт
Ведення каси, розрахунок з клієнтами, ведення архіву, перевірка виробничих документів
Впевнений користувач ПК
Місце проведення робіт вул. Кривий Вал, 13</t>
  </si>
  <si>
    <t>інженер з якості</t>
  </si>
  <si>
    <t>інженер-електронік</t>
  </si>
  <si>
    <t>(заробітна плата може сягати до 12000,00 грн) обслуговування та ремонт касових апаратів та електронних ваг</t>
  </si>
  <si>
    <t>інженер-конструктор</t>
  </si>
  <si>
    <t>27.04.2020 08:38 Тимчасово припинено набір персоналу на час карантину.
Розробляти та забезпечувати відповідальність проектних рішень і документації, виконувати завдання поставлені головним інженером. Знання ПК, AutoCad, ArhiCad</t>
  </si>
  <si>
    <t>інженер-механік груповий</t>
  </si>
  <si>
    <t>Місце проведення робіт с. Шепель. Організація ремонтної служби на підприємстві, планування роботи устаткування та виробництва ремонтних робіт, систему планово-запобіжного ремонту і раціональної експлуатації технологічного устаткування.</t>
  </si>
  <si>
    <t>комірник</t>
  </si>
  <si>
    <t>прийом та облік товарів , контроль за наявністю товару згідно накладних, перевірка строків придатності, робота в гіпермаркет ТАМ ТАМ</t>
  </si>
  <si>
    <t>головний енергетик</t>
  </si>
  <si>
    <t>Контроль за ефективним використанням паливно-енергетичних ресурсів ТРЦ,ведення технічної документації, заключення  договорів.</t>
  </si>
  <si>
    <t>майстер</t>
  </si>
  <si>
    <t>/ організація роботи по  благоустрою території ОТГ</t>
  </si>
  <si>
    <t>майстер аварійно-диспетчерської служби</t>
  </si>
  <si>
    <t>здійснює загальне керівництво підлеглими працівниками під час експлуатації та ремонту контрольно-вимірювальних приладів та автоматики; забезпечує роботу КВП та А відповідно до правил котлонагляду, правил безпеки в газовому господарстві, правил технічної безпеки та правил технічної експлуатації електроустановок споживачів</t>
  </si>
  <si>
    <t>виконавець робіт</t>
  </si>
  <si>
    <t>забезпечує виконання виробничих завдань відповідно до графіків і проектів виконання будівельних,монтажних, ремонтно-будівельних, монтажних, ремонтно-будівельних, введення об'єктів у дію у встановленні строки. Організовує виконання будівельно-монтажних робіт згідно з проектною та технічною документацією, будівельними нормами та правилами,технічними умовами й іншими нормативними документами. Складає заявки на будівельні машини,транспорт,засоби механізації і т.д.</t>
  </si>
  <si>
    <t>логопед</t>
  </si>
  <si>
    <t>0722181201, Волинська область, Ковельський район, Велицьк</t>
  </si>
  <si>
    <t>сестра медична</t>
  </si>
  <si>
    <t>0722182601, Волинська область, Ковельський район, Зелена</t>
  </si>
  <si>
    <t>0721881301, Волинська область, Ківерцівський район, Грем'яче</t>
  </si>
  <si>
    <t>/Уміння провести підшкірні, внутрішньом'язові та внутрішньовенні ін'єкції; надати першу медичну допомогу: штучне дихання, накласти джгут, ввести зонд, накласти шини, бинти, пов'язки, промити шлунок, ввести катетер чи газовідвідні трубки; виміряти артеріальний тиск, температуру хворого та інші накази лікаря/</t>
  </si>
  <si>
    <t>надання первинної медичної допомоги</t>
  </si>
  <si>
    <t>медичне обслуговування та надання невідкладної допомоги</t>
  </si>
  <si>
    <t>.   надання першої медичної допомоги</t>
  </si>
  <si>
    <t>добросовісно виконувати обов'язки медместри-лаборанта- проведення хімічного аналізу води в басейні, дотримання санітарних норм в приміщенні, надання первинної медичної допомоги</t>
  </si>
  <si>
    <t xml:space="preserve">оклад+ премія, сестра медична інфекційного відділення. Виконання лікарських призначень. Збір матеріалів для лабораторних аналізів. Надання першої медичної допомоги. </t>
  </si>
  <si>
    <t>брокер</t>
  </si>
  <si>
    <t>Обліковець з реєстрації бухгалтерських даних</t>
  </si>
  <si>
    <t>1824410100, Житомирська область, Олевський район, Олевськ</t>
  </si>
  <si>
    <t>5621810100, Рівненська область, Дубровицький район, Дубровиця</t>
  </si>
  <si>
    <t>5622255100, Рівненська область, Зарічненський район, Зарічне</t>
  </si>
  <si>
    <t>Начальник відділу</t>
  </si>
  <si>
    <t>заробітна плата залежить за результатами проведеної співбесіди,побудова системи активних продаж с/г техніки, участь в проведенні переговорів з постачальниками та клієнтами, ділове листування з партнерами та постачальниками, забезпечення та контроль виконання планів продажів менеджерами з продажу, аналіз потреб клієнтів та складання комерційних пропозицій, підготовка документації, контроль залишків техніки, знання англійської мови на рівні не нижче intermediate</t>
  </si>
  <si>
    <t>начальник відділу у Ковельський міськрайонний виробничий відділ; планування роботи відділу з питань земельних відносин; здійснення загального керівництва; облік договорів та контроль за використанням земельних ділянок</t>
  </si>
  <si>
    <t>начальник відділу у Локачинський районний виробничий відділ; планування роботи відділу з питань земельних відносин; здійснення загального керівництва; облік договорів та контроль за використанням земельних ділянок</t>
  </si>
  <si>
    <t>кухонний робітник</t>
  </si>
  <si>
    <t>допоміжні роботи в харчоблоці дошкільного закладу, режим роботи з 06-14 год, з 14-18 год., бажано проживання в районі пр.Соборності</t>
  </si>
  <si>
    <t>мийник посуду</t>
  </si>
  <si>
    <t>на 0,25 ставки, миття посуду та прибирання (робота по мірі необхідності)</t>
  </si>
  <si>
    <t>прибиральник виробничих приміщень</t>
  </si>
  <si>
    <t xml:space="preserve">ретельне прибирання м'ясного цеху , особи з інвалідністю
</t>
  </si>
  <si>
    <t>0722880701, Волинська область, Луцький район, Боратин</t>
  </si>
  <si>
    <t>прибирає в цехах та інших виробничих приміщеннях відходи виробництва і сміття; прибирає та дезінфікує туалети, душові, гардеробні та інші місця загального користування на виробництві;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</si>
  <si>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Прибирання швейного цеху та офісного приміщення. (Неповний робочий час).</t>
  </si>
  <si>
    <t>прибиральник службових приміщень</t>
  </si>
  <si>
    <t>/ прибирання офісних і адміністративних приміщень підприємства. Телефон для детальної інформації 03344-32115 (Коритко Ірина)</t>
  </si>
  <si>
    <t>/ прибирання адмінприміщення селищної ради</t>
  </si>
  <si>
    <t>Прибирання службових приміщень та залу в супермаркеті "Наш Край"</t>
  </si>
  <si>
    <t>/0,5 ставки прибиральника службових приміщень; якісно прибирати приміщення школи: коридори, сходи, санвузли, туалети; витирати пил, підмітати і мити вручну стіни, підлогу, стелю, віконні рами і скло, дверні блоки, меблі та килимові вироби; якісно чистити і дезінфікувати раковини та інше санітарно-технічне устаткування.</t>
  </si>
  <si>
    <t>0725080501, Волинська область, Старовижівський район, Буцин</t>
  </si>
  <si>
    <t>Прибирання офісу ( до 500 м. кв) . Неповний робочий день, графік обумовлюється.</t>
  </si>
  <si>
    <t>прибирання приміщень бази відпочинку "Автомобіліст"</t>
  </si>
  <si>
    <t>0725785601, Волинська область, Шацький район, Світязь</t>
  </si>
  <si>
    <t>.    прибирання приміщення, заробітна  плата залежить від площі приміщення, яке прибирається, неповна зайнятість</t>
  </si>
  <si>
    <t xml:space="preserve">Прибирання залу та службових приміщень магазину, помічник продавця-консультанта. Графік роботи: 4/4 дні по 12 годин. </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</si>
  <si>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дезинфікуючим розчином, збирає сміття і відносить його на смітник у дворі.  Дніпропетровська область, Дніпровський район, Слобожанське(Ювілейна) ,комплекс будівель і споруд (АЗС № 04-09).</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</si>
  <si>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Адреса: Миколаївська область, Кривоозерський район, смт.Криве Озеро, автодорога Київ-Одеса, 293 км (ліворуч) (АЗС № 13-17).</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</si>
  <si>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дезинфікуючим розчином, збирає сміття і відносить його на смітник у дворі.  м.Київ, вул.Берковецька,6</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</si>
  <si>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дезинфікуючим розчином, збирає сміття і відносить його на смітник у дворі. м.Київ, вул.Народного ополчення, 11 (АЗС№ 09-51)</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</si>
  <si>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дезинфікуючим розчином, збирає сміття і відносить його на смітник у дворі.  м.Київ, вул.Набережно-Лугова, 8 (АЗС№ 09-37)</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</si>
  <si>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дезинфікуючим розчином, збирає сміття і відносить його на смітник у дворі.  м.Київ, Романа Шухевича(Ватутіна), 3 (АЗС№ 09-08)</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</si>
  <si>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дезинфікуючим розчином, збирає сміття і відносить його на смітник у дворі.  м.Київ, вул.Богатирська,15а (АЗС№ 09-45)</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</si>
  <si>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дезинфікуючим розчином, збирає сміття і відносить його на смітник у дворі.  Івано-Франківська обл, Тисменицький р-н, с.Угринів, вул.Калуське шосе,2д (АЗС № 05-15).</t>
  </si>
  <si>
    <t>2625886801, Івано-Франківська область, Тисменицький район, Угринів</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</si>
  <si>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дезинфікуючим розчином, збирає сміття і відносить його на смітник у дворі.  Одеська область, Біляївський район, с/рУсатівська ,автодорога Київ-Одеса 462 км+325м (АЗС № 14-03).</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</si>
  <si>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м. Київ, вулиця Стеценка, буд. 22.
</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</si>
  <si>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Тернопільська обл, Кременецький р-н,м.Кременець, вул.ЛятуринськоїО.,17 (АЗС 18-23).</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</si>
  <si>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ІІвано-Франківська обл, м. Івано-Франківськ, вулиця Довженка О, будинок 21а (АЗС № 05-16)
</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</si>
  <si>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м. Київ, вул. Богатирська, 15 а (09-45)
</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</si>
  <si>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м. Київ, вул.Столичне Шосе, 96 (09-38).
</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</si>
  <si>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"Київська обл., Вишгородський р., м. Вишгород, автодорога Київ - Вишгород - Десна 19 км. 
 (09-32)"
</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</si>
  <si>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Львівська обл., м. Львів, Пустомитівський р-н., с.Підгірне()ліворуч) (АЗС 11-50).</t>
  </si>
  <si>
    <t>4623684002, Львівська область, Пустомитівський район, Підгірне</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</si>
  <si>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Тернопільська обл, Тернопільський р-н,с.Байківці, вул. Смиковецька,3 (АЗС 18-03).</t>
  </si>
  <si>
    <t>6125280601, Тернопільська область, Тернопільський район, Байківці</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</si>
  <si>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м. Київ, вул. Берковецька, 6 (09-56).
</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</si>
  <si>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Харківська обл., Харківський р-н., смт. Пісочин, Довжанський , км.464-850(ліворуч) (АЗС № 19-11).
</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</si>
  <si>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м. Київ, Броварський пр-т, 3А (09-47)
</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</si>
  <si>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дезинфікуючим розчином, збирає сміття і відносить його на смітник у дворі.Дніпропетровська обл., Дніпровський р-н., сщ.Дослідне,вул.Накове,79 АЗС (04-02).
</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</si>
  <si>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м.Київ,  вулиця Заболотного академіка, буд.174 А (09-34)
</t>
  </si>
  <si>
    <t>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дезинфікуючим розчином, збирає сміття і відносить його на смітник у дворі.  Волинська обл, Луцький р-н, с.Великий Омельяник, вул.Володимирська,1в (АЗС 01-25).</t>
  </si>
  <si>
    <t>0722881803, Волинська область, Луцький район, Великий Омеляник</t>
  </si>
  <si>
    <t>2625810100, Івано-Франківська область, Тисменицький район, Тисмениця</t>
  </si>
  <si>
    <t xml:space="preserve">Прибирає та підтримує порядок в службовому приміщенні АЗК.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м. Київ, пр-т Перемоги, 11-Б (АЗС № 09-05)
</t>
  </si>
  <si>
    <t>Прибирання службових приміщень та санітарних кімнат, дотримання правил внутрішнього розпорядку. Охайність, пунктуальність, відсутність судимості. Графік роботи: з 7:00 до 14:00.</t>
  </si>
  <si>
    <t>доглядач</t>
  </si>
  <si>
    <t>Допомога в пересуванні, прибирання в кімнатах, приготування їжі.</t>
  </si>
  <si>
    <t>сторож</t>
  </si>
  <si>
    <t>Перевіряє цілісність об’єкта, що охороняється (замків та інших запірних пристроїв), навантажувально-розвантажувальні роботи.</t>
  </si>
  <si>
    <t>робітник з благоустрою</t>
  </si>
  <si>
    <t>двірник</t>
  </si>
  <si>
    <t>( графік роботи з 6,00 год. до 14,00год.) прибирання вул.Рівненська, підстригання кущів, тощо</t>
  </si>
  <si>
    <t>( графік роботи з 6,00 год. до 14,00год.) прибирання пр. Відродження, підстригання кущів, тощо</t>
  </si>
  <si>
    <t>прибирання території бази відпочинку "Автомобіліст", догляд за зеленими насадженнями</t>
  </si>
  <si>
    <t>якісне прибирання прибудинкових територій</t>
  </si>
  <si>
    <t>( графік роботи з 6,00 год. до 14,00год.) прибирання вул.К.Карого, підстригання кущів, тощо</t>
  </si>
  <si>
    <t>ретельне прибирання ,підмітання пришкільної території</t>
  </si>
  <si>
    <t>робітник з комплексного прибирання та утримання будинків з прилеглими територіями</t>
  </si>
  <si>
    <t>прибиральник територій</t>
  </si>
  <si>
    <t>Фахівець з інформаційних технологій</t>
  </si>
  <si>
    <t>Адміністрування комп'ютерних мереж, налаштування роботи комп'ютерів та оргтехніки, налаштування WIFI. Встановлення та налаштування програмного забезпечення, підтримка роботи системи відеоспостереження та системи керування контролю та доступу.0336521469 Вікторія</t>
  </si>
  <si>
    <t>0721883101, Волинська область, Ківерцівський район, Журавичі</t>
  </si>
  <si>
    <t>Фахівець з розробки та тестування програмного забезпечення</t>
  </si>
  <si>
    <t xml:space="preserve">розробка та тестування програмного забезпечення; створення і підтримка веб-сайтів та мобільних версій; </t>
  </si>
  <si>
    <t>Секретар судового засідання</t>
  </si>
  <si>
    <t>лікар-акушер-гінеколог</t>
  </si>
  <si>
    <t xml:space="preserve">Надає кваліфіковану медичну допомогу по своїй спеціальності, використовуючи сучасні методи профілактики, діагностики, лікування і реабілітації, дозволені для застосування в медичній практиці.
</t>
  </si>
  <si>
    <t>лікар-анестезіолог</t>
  </si>
  <si>
    <t>/Обгрунтовує вибір анастезії. Здійснює кваліфіковане анастезіологічне забезпечення. Провордить загальний, внутрішньовенний ендотрахеальний наркоз при планових та термінових операціях.</t>
  </si>
  <si>
    <t>Обґрунтовує вибір виду анестезії; аналізує результати лабораторних, функціональних і спеціальних методів дослідження; здійснює кваліфіковане анестезіологічне забезпечення; проводить масковий, внутрішньовенний, ендотрахеальний наркоз при термінових і планових операціях</t>
  </si>
  <si>
    <t>завідувач виробництва</t>
  </si>
  <si>
    <t>Проводить роботу з удосконалення організації виробництва, впровадження прогресивної технології, підвищення якості продукції, ефективного використання техніки, підвищення професійної майстерності працівників</t>
  </si>
  <si>
    <t>завідувач відділу</t>
  </si>
  <si>
    <t>завідувач господарства</t>
  </si>
  <si>
    <t>Забезпечувати господарське обслуговування і належний стан  будинків і приміщень, контроль за справністю матеріально-технічної бази.</t>
  </si>
  <si>
    <t>завідувач клубу</t>
  </si>
  <si>
    <t>механік з ремонту транспорту</t>
  </si>
  <si>
    <t xml:space="preserve"> Технічне обслуговування та ремонт транспорту підприємства </t>
  </si>
  <si>
    <t>механік з ремонту устаткування</t>
  </si>
  <si>
    <t>добросовісне виконання обов'язків, ремонт та налагодження устаткування для атракціонів</t>
  </si>
  <si>
    <t>вантажник</t>
  </si>
  <si>
    <t>Здійснення навантаження , перевезення, перенесення і розвантаження вантажку, його сортування, фасування, переважування вручну  та із застосуванням найпростіших пристосувань</t>
  </si>
  <si>
    <t>розвантажувальні роботи в гіпермаркеті Там Там, переміщення товарів до складу та торгового залу, фізична витримка, відповідальність</t>
  </si>
  <si>
    <t xml:space="preserve">Виконання завантажувально-розвантажувальних  робіт на виробництві. Режим роботи: тиждень  з 08:00 до 20:00, Тиждень з 20:00 до 08:00. </t>
  </si>
  <si>
    <t>агент торговельний</t>
  </si>
  <si>
    <t>.    розширення ринку збуту</t>
  </si>
  <si>
    <t>адміністратор</t>
  </si>
  <si>
    <t xml:space="preserve">Веде облік осіб, що проживають у готелі, здійснює контроль за звільненням номерів і місць. Складає відомості про завантаженість готелю за поточну добу, оформлює переведення осіб, що проживають у готелі, з одного номера в інший за їх проханням. Забезпечує виконання правил користування і внутрішнього розпорядку у готелі. </t>
  </si>
  <si>
    <t xml:space="preserve"> .  робота адміністратора кафе та готельного комплексу, вміння складати меню,контроль за персоналом.</t>
  </si>
  <si>
    <t>/ Робота адміністратора торгової зали.Здійснювати замовлення та прийом товарів у постачальників. 
Перевіряти відповідність товарів, що постачаються. Перевіряти терміни придатності товарів, які постачаються. Перевіряти придатність товарів для споживання/використання. Забезпечувати розміщення товарів із додержанням вимог щодо збереження якості товарі. Місце проведення робіт: Закарпатська обл. Ужгородський р-н., с. Соломоново (06-18)</t>
  </si>
  <si>
    <t>2124886201, Закарпатська область, Ужгородський район, Соломоново</t>
  </si>
  <si>
    <t>зустріч відвідувачів готелю "Ромбус", поселення, консультування, проведення розрахунків за проживання, здійснення контролю за роботою покоївок, обов’язкове знання англійської мови, режим роботи з 09.00-21.00 год., через добу</t>
  </si>
  <si>
    <t>лікар-ендоскопіст</t>
  </si>
  <si>
    <t>/Проводить діагностику лікувальну ендоскопію при захворюннях легень, шлунково-кишкового тракту, малого тазу. Проводить консультації хворих, працюєв контакті з лікарями.</t>
  </si>
  <si>
    <t>лікар-лаборант</t>
  </si>
  <si>
    <t>виконання лабораторних досліджень , ведення відповідної документації</t>
  </si>
  <si>
    <t>лікар-онколог</t>
  </si>
  <si>
    <t>лікар-отоларинголог</t>
  </si>
  <si>
    <t>лікар-офтальмолог</t>
  </si>
  <si>
    <t>лікар-рентгенолог</t>
  </si>
  <si>
    <t xml:space="preserve">/Проводить кваліфіковане рентгенологічне обстеження, здійснює інтервенційні лікувально-діагностичні втручання під контролем ренгеноскопії. Забезпечує оформлення та надання висновків за результатами дослідження. </t>
  </si>
  <si>
    <t>лікар-стоматолог</t>
  </si>
  <si>
    <t>лікування та протезування зубів із застосуванням сучасних методик діагностики; проведення профілактичних оглядів, консультацій; терапевтична, дитяча, хірургічна стоматологія</t>
  </si>
  <si>
    <t>попередньо телефонувати , зар.пл+%,   надання лікарської допомоги пацієнтам, пломбування та протезування зубів,тощо</t>
  </si>
  <si>
    <t>лікар-стоматолог-ортодонт</t>
  </si>
  <si>
    <t>застосовує сучасні методи діагностики та проводить підготовку до протезування зубів при дефектах та аномалії зубів, щелепи; обирає методи лікуання та конструкції протезів; здійснює ортодонтичне лікування; надає невідкладну стоматологічну допомогу</t>
  </si>
  <si>
    <t>лікар-ортопед-травматолог</t>
  </si>
  <si>
    <t>лікар-уролог</t>
  </si>
  <si>
    <t>лікар-фізіотерапевт</t>
  </si>
  <si>
    <t>майстер будівельних та монтажних робіт</t>
  </si>
  <si>
    <t>.   має здійснювати виконання будівельно - монтажних робіт відповідно до робочих креслень, проекту організації, виробничого плану та нормативних документів.</t>
  </si>
  <si>
    <t>майстер виробничого навчання</t>
  </si>
  <si>
    <t>/Формувати в учнів професійні знання за професією електрогазозварник, уміння і навички відповідно до вимог кваліфікаційної характеристики за професією, навчати учнів раціональним прийомам виконання навчально-виробничих робіт і завдань, наукової організації праці, застосуванню прогресивних технологій.Складати документацію з планування виробничого навчання, підбирати навчально-виробничі роботи відповідно до затвердженого переліку./
Інформація за телефоном (03342)35644, Опейда Галина Михайлівна</t>
  </si>
  <si>
    <t>/  Працювати  сумлінно,  дотримуватися  режиму  роботи, виконувати вимоги Статуту навчального закладу і Правил внутрішнього розпорядку, дотримуватися дисципліни праці.У своїй роботі використовувати ефективні форми, методи, засоби навчання. Вивчати  індивідуальні  особливості  учнів,  дбати  про  розвиток  їх  здібностей  та  талантів.У своїй роботі використовувати ефективні форми, методи, засоби навчання.</t>
  </si>
  <si>
    <t>оклад+  надбавки, добрі знання та викладання  технологій, ресторанної справи для кухарів</t>
  </si>
  <si>
    <t>майстер виробничої дільниці</t>
  </si>
  <si>
    <t>Контролює та бере участь у складанні металопластикових конструкцій (вікна, двері); здійснює порізку профілю та обв'язку фурнітури у конструкціях .  Досвід роботи у складанні металопластикових та алюмінієвих конструкцій.</t>
  </si>
  <si>
    <t>майстер дільниці</t>
  </si>
  <si>
    <t>/ забезпечення оперативного виконання робіт із санітарного обслуговування майна: благоустрою та прибирання прибудинкової території, проводити технічний огляд зовнішніх конструктивних елементів будівель. Телефон для інформації:03344-3-21-15 (Стебелько Тетяна)</t>
  </si>
  <si>
    <t>товарознавець</t>
  </si>
  <si>
    <t>Здійснює оперативний облік надходження і реалізації товарно-матеріальних цінностей, контролює своєчасність відвантаження товарів за договорами постановок, зворотної тари.</t>
  </si>
  <si>
    <t xml:space="preserve">25.03.2020 року 15.38 год. тимчасово припинено набір персоналу на час карантину
здійснює контроль за наявністю товару на складі та супермаркеті, контролює додержання вимог щодо збереження якості товарів, знання номенклатури , прийом товарів, супровід продажу товарів, підбір товарів за каталогами ; 
супермаркет "Наш Край" м. Дубно вул. Мирогощанська, 1; 
</t>
  </si>
  <si>
    <t xml:space="preserve">25.03.2020 року 15.37 год. тимчасово припинено набір персоналу на час карантину
здійснює контроль за наявністю товару на складі та супермаркеті, контролює додержання вимог щодо збереження якості товарів, знання номенклатури , прийом товарів, супровід продажу товарів, підбір товарів за каталогами; 
супермаркет "Наш Край" м. Радивилів вул. Почаївська, 33; 
</t>
  </si>
  <si>
    <t>фармацевт</t>
  </si>
  <si>
    <t xml:space="preserve">фармацевтичне обслуговування та забезпечення споживачів лікарськими засобами та виробами медичного призначення на основі прийому ефективних методів продажу </t>
  </si>
  <si>
    <t>знання фармацевтичного порядку, відпуск товарів медичного призначення покупцям, вміння працювати на ПК, постійне безкоштовне навчання згідно індивідуального плану для розвитку</t>
  </si>
  <si>
    <t>фахівець</t>
  </si>
  <si>
    <t xml:space="preserve">   .провідний фахівець по роботі з персоналом Волинського ОЦЗ</t>
  </si>
  <si>
    <t>можливо особу з групою інвалідності, системно займається наповненням новинного сайту,дотримується контентплану та графік оновлення  сайту,пише і редагує новини та статті.бере участь у розробці спецпроєктів, перекладають матеріали відповідно до завдання керівника, здійснює запис інтерв'ю, адаптує матеріали для публікації на сайті..Здійснює фактологічну перевірку інформації перед публікацією,тощо</t>
  </si>
  <si>
    <t>Фахівець з методів розширення ринку збуту (маркетолог)</t>
  </si>
  <si>
    <t>базові знання редактора Photoshop(для створення макетів для внутрішньої і зовнішньої реклами, соціальних мереж), інтернет-маркетолог,працювати в відділі реклами, досвід налаштування реклами в соціальних мережах, створення презентацій</t>
  </si>
  <si>
    <t>0721888003, Волинська область, Ківерцівський район, Пальче</t>
  </si>
  <si>
    <t>фахівець із соціальної роботи</t>
  </si>
  <si>
    <t>фельдшер</t>
  </si>
  <si>
    <t>фельдшер-лаборант</t>
  </si>
  <si>
    <t>складальник-обробник котушок трансформаторів</t>
  </si>
  <si>
    <t>Складання котушок трансформаторів, працівник повинен знати призначення та правила застосування найбільш поширених пристроїв та ключів, які застосовує в роботі; способи стягання та оброблення котушок трансформаторів</t>
  </si>
  <si>
    <t>монтувальник шин</t>
  </si>
  <si>
    <t>Шиномонтажник. Викатка дисків, ремонт коліс. Досвід роботи від 1 року. Заробітна плата + премія.</t>
  </si>
  <si>
    <t>здійснює заміну, підкачує та ремонтує шини</t>
  </si>
  <si>
    <t>обслуговування транспортних засобів (переважно вантажних, зрідка легкових та напівпричепів;
виробнича база вантажних ТЗ (MAN, HOWO, МАЗ, КАМАЗ)</t>
  </si>
  <si>
    <t>бортування та поклейка шин, розкатка дисків, вміння шиномонтажних робіт, здійснює монтаж та демонтаж шин всіх типорозмірів різних автомобілів, усуває пошкодження, контролює якість ремонту камер; робота на СТО с. Рованці вул. Промислова, 12</t>
  </si>
  <si>
    <t>начальник цеху</t>
  </si>
  <si>
    <t>/Виконувати виробничі завдання, забезпечує безперебійну роботу електро-механічного обладнання, забезпечує планові та поточні ремонти, керує ремонтними службами товариства.
 Відповідальний- Тетяна Сергїівна: 0335271140</t>
  </si>
  <si>
    <t>інспектор з кадрів</t>
  </si>
  <si>
    <t>Ведення кадрового діловодства на підприємстві, робота на складі .Знання програм Word і Excel</t>
  </si>
  <si>
    <t>складання наказів:прийом,звільнення,переведення,відпустки; формування особових справ,облік трудових книжок,робочого часу,табелювання; контроль графіку відпусток,формування архівних справ, подання звітності; вільне володіння 1С 8.3, досвід здачі документів в архів та досвід роботи на підприємстві з чисельністю понад 250 працівників ( на час декретної відпустки основного працівника)</t>
  </si>
  <si>
    <t>інспектор кредитний</t>
  </si>
  <si>
    <t>Технік-технолог з виробництва борошняних, кондитерських виробів та харчоконцентратів</t>
  </si>
  <si>
    <t>досвід роботи з відсадною машиною, струнна різка, розробка нових рецептур печива</t>
  </si>
  <si>
    <t>Завідувач дільниці ветеринарної медицини</t>
  </si>
  <si>
    <t>0721182403, Волинська область, Іваничівський район, Заболотці</t>
  </si>
  <si>
    <t>інженер з комп'ютерних систем</t>
  </si>
  <si>
    <t>/Забезпечувати працездатний стан комп'ютерної техніки, операційних систем, програм забезпечення. Проводити установку операційних систем. Адміністрування комп’ютерної мережі, технічний контроль і
підтримку заходів інформаційної безпеки в ній.</t>
  </si>
  <si>
    <t>Інженер-будівельник</t>
  </si>
  <si>
    <t>/вміння читати (розбиратись) в проєктній документації, кресленнях, приймати участь у реалізації проєкту на всіх його стадіях/
Інформація за телефоном (03342)20526, Панасюк Ірина Ігорівна</t>
  </si>
  <si>
    <t xml:space="preserve">Інженер з нагляду за будівництвом (прораб): здійснює технічний нагляд за виконанням будівельно-монтажних робіт, оперативно вирішує питання щодо заміни матеріалів, виробів, конструкцій; здійснює технічне приймання закінчених будівельно-монтажних робіт і об'єктів, оформляє необхідну технічну документацію для пред'явлення об'єкта приймальній комісії. Офіс у ЖК "Яровиця". 
</t>
  </si>
  <si>
    <t>інженер з проектно-кошторисної роботи</t>
  </si>
  <si>
    <t>Виконання обов'язків згідно інструкції інженера - кошторисника</t>
  </si>
  <si>
    <t>Складання кошторисів.Калькуляцій вартості виготовлення виробів та конструкцій.Розрахунок вартості маш.-год. роботи будівельних машин і механізмів.Узгодження кошторисів та складання актів виконаних робіт КБ-2в та підготовка пакету документів під час проведення взаєморозрахунків з замовником за виконані роботи.Розробка розділу «Кошторисна документація».Знання програмного комплексу АВК-5</t>
  </si>
  <si>
    <t>складання кошторисної документації. Оформлення кошторисів на електромонтажні роботи.</t>
  </si>
  <si>
    <t>Менеджер (управитель) з логістики</t>
  </si>
  <si>
    <t>25.03.2020,12:00 "Тимчасово припинено набір персоналу на період карантину" 
Визначає логістичну стратегію підприємства;приймає рішення щодо вибору на довгостроковій основі постачальників,каналів збуту/постачання та розподілення продукції;розроблює перспективні,поточні та оперативні поани логістичної діяльності,проектує матеріальні потоки протягом повного логістичного ланцюжка;координує діяльність різних підрозділів підприємства.Проводить перговори,забезпечує укладання договорів і організовує контроль за їх</t>
  </si>
  <si>
    <t>Менеджер (управитель) із зовнішньоекономічної діяльності</t>
  </si>
  <si>
    <t>Менеджер (управитель) з персоналу</t>
  </si>
  <si>
    <t>менеджер (управитель) з постачання</t>
  </si>
  <si>
    <t>Забезпечення матеріальних потреб підприємства: організація постачання обладнання та комплектуючих, технічних засобів виробництва, налагодження зв'язків з постачальниками. Наявність технічної освіти.</t>
  </si>
  <si>
    <t>менеджер (управитель) із збуту</t>
  </si>
  <si>
    <t>/ Організовує та координує збутову діяльність   магазину  з продажу будівельних матеріалів відповідно до замовлень і укладених договорів, продаж  та консультування покупців з питань якості та властивостей будматеріалів, ввічливе обслуговування покупців.</t>
  </si>
  <si>
    <t>менеджерів з продажу імпортної сільськогосподарської техніки та запчастин. Досвід роботи з с-г технікою.</t>
  </si>
  <si>
    <t>Продаж будівельних матеріалів:активні прямі продажі та виконання плану продаж;побудова клієнтської бази;відвідування будівельних майданчиків, будівельних компаній;налагодження і розвиток продуктивних, довгострокових взаємовідносин з клієнтами;регулярні відрядження по регіону;робота з дебіторською заборгованістю. Ставка + %.</t>
  </si>
  <si>
    <t>ВАНТАЖНІ ЗАПЧАСТИНИ!!!! Робота з клієнтами щодо замовлення та продажу запчастин, надання консультацій.Вміння працювати з каталогом по підбору запчастин.Оформлення відповідної документації.знання будови автомобіля.Знання комп’ютера: MS Office; вміння працювати в 1С. чергування в суботу (1 раз в місяць) 9.00 до14.00</t>
  </si>
  <si>
    <t>Проведення замовлень по виробництву, пошук нових замовлень, аналіз ринку та розширення збуту.
З/п від 8000 грн до 15 000 грн. Можливі відрядження. Наявність прав водія кат. "В"</t>
  </si>
  <si>
    <t>заробітна плата залежить за результатами проведеної співбесіди, реалізація с/г техніки на закріпленій території, активний пошук нових клієнтів та взаємодія з існуючими клієнтами, підтримання ділових відносин з клієнтами, виконання плану продаж, посвідчення водія категорії "В", надання службового транспорту, досвід роботи в продаж від 2 років(бажано в агробізнесі)</t>
  </si>
  <si>
    <t>1210100000, Дніпропетровська область, Дніпро</t>
  </si>
  <si>
    <t>6510100000, Херсонська область, Херсон</t>
  </si>
  <si>
    <t xml:space="preserve"> виробництво вафельного листа,організовує правильну експлуатацію та безперебійну роботу, нагляд, завантаження сировини </t>
  </si>
  <si>
    <t>інженер з технічної діагностики</t>
  </si>
  <si>
    <t>тракторист</t>
  </si>
  <si>
    <t>Керування трактором МТЗ-82. Робота на лісозаготівлях. Забезпечення своєчасного виїзду транспортного засобу відповідно до замовлень.Проводити щоденне технічне обслуговування закріпленого за ним транспортного засобу, утримувати трактор у належному стані.Дотримуватись техніки безпеки при обслуговуванні та ремонті транспорту.</t>
  </si>
  <si>
    <t>тракторист на Т150 бурильно - кранової установки. Встановлення залізобетонних стовпів(опор). Оплата відрядно - преміальна. Наявність посвідчення тракториста.</t>
  </si>
  <si>
    <t>машиніст-кранівник</t>
  </si>
  <si>
    <t xml:space="preserve"> / вміння керувати автомобільним краном, дотримуватись правил техніки безпеки  на робочому місці</t>
  </si>
  <si>
    <t>Тракторист-машиніст сільськогосподарського (лісогосподарського) виробництва</t>
  </si>
  <si>
    <t>Виконувати транспортні роботи на тракторах з додержанням правил дорожнього руху та правил перевезення вантажів. Виконувати щозмінне технічне обслуговування тракторів на яких працює.</t>
  </si>
  <si>
    <t>0720881301, Волинська область, Горохівський район, Галичани</t>
  </si>
  <si>
    <t>0722483401, Волинська область, Локачинський район, Козлів</t>
  </si>
  <si>
    <t>Вміння керувати автотранспортом. Комбайн CLAAS, LEXION 760</t>
  </si>
  <si>
    <t>машиніст автогрейдера</t>
  </si>
  <si>
    <t>машиніст спецтехніки(автогрейдер, екскаватор, навантажувач),бажано наявність посвідчення, виконання робіт у м. Луцьку та Луцькому районі, обслуговування та поточний ремонт механізмів</t>
  </si>
  <si>
    <t>машиніст бульдозера (будівельні роботи)</t>
  </si>
  <si>
    <t xml:space="preserve">Виконання різноманітних робіт на бульдозері ЧТЗ — 170 (Т-170).  Виявлення та усунення несправностей в роботі бульдозера. Знання та вміння використовувати в роботі будову, технічні характеристики, монтаж і демонтаж бульдозера та наявного до нього устаткування. </t>
  </si>
  <si>
    <t>0722884001, Волинська область, Луцький район, Несвіч</t>
  </si>
  <si>
    <t>Монтажник гіпсокартонних конструкцій</t>
  </si>
  <si>
    <t>обшивка рекламних конструкцій гіпсокартоном, монтаж гіпсокартонних виробів та вентельованих фасадів</t>
  </si>
  <si>
    <t>Газозварник</t>
  </si>
  <si>
    <t>зар/пл. від 10000,00 грн,  зварювання деталей, апаратів, конструкцій , виконання робіт на будівельному майданчику, розряд 4-5</t>
  </si>
  <si>
    <t>Електрозварник ручного зварювання</t>
  </si>
  <si>
    <t>03.04.2020, 09.12, тимчасово припинено набір персоналу на період карантину. Виконує ручне зварювання в усіх просторових положеннях зварного шва. Телефон для інформації: 0-3344-3-21-15 (Наталія Шаравага)</t>
  </si>
  <si>
    <t>0710745300, Волинська область, Благодатне</t>
  </si>
  <si>
    <t>Виконання зварювальних робіт при виготовленні металевих виробів та конструкцій</t>
  </si>
  <si>
    <t xml:space="preserve">Виконувати ручне дугове зварювання деталей в нижньому і вертикальному положенні зварного шва, наплавляти деталі; готувати вироби і вузли під зварювання і зачищати шви після зварювання; читати прості креслення. </t>
  </si>
  <si>
    <t>Машиніст тепловоза</t>
  </si>
  <si>
    <t>Продавець-консультант</t>
  </si>
  <si>
    <t>/ продаж  будівельних матеріалів в магазині м. К-Каширського, консультування покупців щодо  якості та властивостей конкретних видів матеріалів, ввічливе обслуговування   клієнтів. т. 0686162336.</t>
  </si>
  <si>
    <t xml:space="preserve">/Реалізація будівельних товарів. Вік претендента на посаду від 25 до 40 років, відповідальність, добросовістність. Впевнений користувач ПК. 
</t>
  </si>
  <si>
    <t>/Проводити розвантажувально-навантажувальні роботи до 20 кг, наявність санітарної книжки, забезпечення спецодягом, матеріальна відповідальність, реалізація фасованої та розфасованої продукції,розміщує та викладає товар за групами,заповнює та прикріплює ярлики цін,прибирає робоче місце в кінці дня.</t>
  </si>
  <si>
    <t>/Робота на базарі в Ларьку з продажу електро товарів.</t>
  </si>
  <si>
    <t>Менеджер (управитель) із надання кредитів</t>
  </si>
  <si>
    <t>Менеджер (управитель) з організації консультативних послуг</t>
  </si>
  <si>
    <t>Обробка вхідних звернень користувачів (чат, e-mail); робота з комп'ютерними програмами он-лайн, висока швидкість друку; знання англійської та німецької мови (середній рівень); досвід обслуговування вхідних звернень клієнтів</t>
  </si>
  <si>
    <t>Монтер колії</t>
  </si>
  <si>
    <t>Електрогазозварник</t>
  </si>
  <si>
    <t>оклад+ премія, проведення усіх видів зварювальних робіт електрогазозварювальним обладнанням.      дотримання режиму підприємства та техніки безпеки</t>
  </si>
  <si>
    <t>Оператор пакувальних автоматів</t>
  </si>
  <si>
    <t>Програміст (база даних)</t>
  </si>
  <si>
    <t>Директор виконавчий</t>
  </si>
  <si>
    <t>Дизайнер меблів</t>
  </si>
  <si>
    <t>дизайн меблів, знання дизайнерської програми 3Д MAX</t>
  </si>
  <si>
    <t>Зварник</t>
  </si>
  <si>
    <t>Інженер-проектувальник</t>
  </si>
  <si>
    <t>Розробляє розділи проєкту відповідно до виданого завдання.Збирає вихідні дані для проектування, у вирішенні технічних питань по закріпленим об’єктам протягом всього періоду проектування будівництва, вводу в дію об’єкту та освоєння проектних потужностей.</t>
  </si>
  <si>
    <t>Виїзд на об'єкт, обстеження, складання відомостей дефектів.Складання та погодження з замовником технічного завдання, основних технічних рішень.Підготовка усіх розділів проекту. Авторський нагляд за будівництвом запроектованих об'єктів. Розробка ескізної, технічної та проектної документації.Технічний і авторський контроль підрядників.Узгодження проектів, що розробляються з іншими проектувальниками і виконавцями.</t>
  </si>
  <si>
    <t>проектування будівель та споруд, виконання архітектурних креслень та конструктивних розрахунків, робота з програмами Autocad. Archicad</t>
  </si>
  <si>
    <t>проектувальники з досвідом проектування доріг.</t>
  </si>
  <si>
    <t>Покрівельник будівельний</t>
  </si>
  <si>
    <t>Бригадир на дільницях основного виробництва (інші виробництва)</t>
  </si>
  <si>
    <t>робота на дільниці по виготовленню металоконструкцій</t>
  </si>
  <si>
    <t>Обліковець</t>
  </si>
  <si>
    <t>ведення та оформлення первинної документації. Ведення касової дисципліни.Звірка з постачальниками. Проведення інвентаризації. Знання 1С (версія 8.3).</t>
  </si>
  <si>
    <t>Контролер лісозаготівельного виробництва</t>
  </si>
  <si>
    <t>Інспектор (пенітенціарна система)</t>
  </si>
  <si>
    <t>0721855700, Волинська область, Ківерцівський район, Цумань</t>
  </si>
  <si>
    <t>Логіст</t>
  </si>
  <si>
    <t>Інженер з технічного нагляду (будівництво)</t>
  </si>
  <si>
    <t xml:space="preserve">Організація і планування робіт; приймання об'єктів, закінчених будівництвом; оформлення проектно-кошторисної та ін. технічної документації; проведення технічних розрахунків; контроль грошових коштів при виконанні будівельних робіт. Досвід роботи, знання спеціалізованих комп'ютерних програм. Офіс у ЖК "Яровиця". 
</t>
  </si>
  <si>
    <t>Голова товариства</t>
  </si>
  <si>
    <t>Вихователь дошкільного навчального закладу</t>
  </si>
  <si>
    <t>Здійснює освітньо-виховний процес за всіма напрямками діяльності ДНЗ згідно річного плану, Статуту дошкільного навчального закладу; Впроваджує в педагогічний процес навчально-методичні документи та рекомендації щодо організації освітньо-виховного та фізкультурно-оздоровчого процесу в ДНЗ, якісно організує та проводить заняття з дітьми згідно сучасних вимог</t>
  </si>
  <si>
    <t>оклад+ надбавки, робота з дошкільнятами, досвід роботи з дітьми, проведення занять у групі, прогулянки</t>
  </si>
  <si>
    <t>Інспектор</t>
  </si>
  <si>
    <t>Організація проведення профілактичних заходів, спрямованих на усунення адміністративних правопорушень, запобігання вчинення адміністративним правопорушенням
Інформування та надання роз’яснення мешканцям та гостям міста по питаннях віднесених до сфери впливу департаменту.Контроль за дотриманням громадського порядку на території міста
Ліквідація стихійних ринків, незаконної торгівлі.Контроль за правилами дорожнього руху та винесення постанов, проведення демонтажів ТС на території міста тощо.</t>
  </si>
  <si>
    <t>Менеджер (управитель)</t>
  </si>
  <si>
    <t>Обов'язки менеджера служби підтримки. Обробка вхідних звернень користувачів (чат, е-mail). Грамотне усне та письмове мовлення (англійська та німецька мова), рівень не нижче середнього, висока швидкість друку.</t>
  </si>
  <si>
    <t>робота в шкільних та дошкільних закладах, пошук нових пропозицій, залучення нових колективів для співпраці у сфері фотопослуг</t>
  </si>
  <si>
    <t>Менеджер (управитель) з маркетингу</t>
  </si>
  <si>
    <t>Фізичний терапевт</t>
  </si>
  <si>
    <t xml:space="preserve">    . За призначенням лікаря здійснює реабілітаційні заходи з метою припинення або зменшення болю, відновлення функцій тканин, органів, систем та організму вцілому.</t>
  </si>
  <si>
    <t>Асистент вихователя дошкільного навчального закладу</t>
  </si>
  <si>
    <t>Майстер лісу</t>
  </si>
  <si>
    <t>Здійснює організаційне керівництво на лісосіці відповідно до вимог технологічної карти. Контролює щоденну роботу бригад на лісосіці.  Забезпечує позначення знаками безпеки небезпечних зон.</t>
  </si>
  <si>
    <t>0721482001, Волинська область, Камінь-Каширський район, Видерта</t>
  </si>
  <si>
    <t>Здійснює електронний облік на лісосіці відповідно до вимог технологічної карти. Контролює щоденну роботу бригад на лісосіці.  Забезпечує позначення знаками безпеки небезпечних зон.</t>
  </si>
  <si>
    <t>0721484302, Волинська область, Камінь-Каширський район, Карпилівка</t>
  </si>
  <si>
    <t>/ догляд за лісовими насадженнями</t>
  </si>
  <si>
    <t>Поліцейський (інспектор) патрульної служби</t>
  </si>
  <si>
    <t>Консультант</t>
  </si>
  <si>
    <t>Вчитель початкових класів закладу загальної середньої освіти</t>
  </si>
  <si>
    <t>Здійснювати навчання та виховання дітей у навчальному закладі</t>
  </si>
  <si>
    <t>Здійснює навчання і виховання молодших школярів, проводить уроки та інші навчальні заняття у закріпленому за ним по розподілу навчального навантаження класі, забезпечує під час занять належний порядок і дисципліну</t>
  </si>
  <si>
    <t>0725084601, Волинська область, Старовижівський район, Седлище</t>
  </si>
  <si>
    <t>Лікар фізичної та реабілітаційної медицини</t>
  </si>
  <si>
    <t xml:space="preserve">забезпечує первинну профілактику захворювань людини методами комплексної гімнастики, корекції режиму рухової активності; навчає методикам профілактики хвороб і ускладнень методами курсового лікування хворих з різною патологією; здійснює підбір комплексів фізичних вправ для самостійних занять; контролює процес лікувальної гімнастики з оцінкою ефективності лікування; </t>
  </si>
  <si>
    <t>Адміністратор (органи державної влади та місцевого самоврядування)</t>
  </si>
  <si>
    <t xml:space="preserve">/Знання Законів України "Про службу в органах місцевого самоврядування". Вільне володіння українською мовою, стаж роботи в органах місцевого самоврядування не менше 1рік та інших сферах управління не менше 3 роки, вміння працювати на персональному компютері. Юридична освіта за освітньо-кваліфікаційним рівне магістра.
</t>
  </si>
  <si>
    <t>0723384901, Волинська область, Любомльський район, Рівне</t>
  </si>
  <si>
    <t>Вчитель закладу загальної середньої освіти</t>
  </si>
  <si>
    <t>0721182406, Волинська область, Іваничівський район, Мовники</t>
  </si>
  <si>
    <t>0721182401, Волинська область, Іваничівський район, Литовеж</t>
  </si>
  <si>
    <t xml:space="preserve">Вчитель інформатики та математики. Заробітна плата залежить від стажу і категорії вчителя. </t>
  </si>
  <si>
    <t>0722883201, Волинська область, Луцький район, Лаврів</t>
  </si>
  <si>
    <t xml:space="preserve"> 0,5 ставки.  Викладач хімії у 7-11 класах, гурток "Юний хімік" - 2 дні на тиждень, пільговий доїзд.</t>
  </si>
  <si>
    <t>0722885201, Волинська область, Луцький район, Радомишль</t>
  </si>
  <si>
    <t>Здійснювати навчання та виховання дітей.</t>
  </si>
  <si>
    <t>0723381701, Волинська область, Любомльський район, Запілля (видалений)</t>
  </si>
  <si>
    <t>0723687302, Волинська область, Маневицький район, Бережниця</t>
  </si>
  <si>
    <t>/Вчитель фізики</t>
  </si>
  <si>
    <t>0724281802, Волинська область, Ратнівський район, Броди</t>
  </si>
  <si>
    <t>оклад+ надбавка, вчитель фізики, поведення занять, добросовісне виконання посадових інструкцій</t>
  </si>
  <si>
    <t>Фахівець з публічних закупівель</t>
  </si>
  <si>
    <t>/ складати річний план закупівель, складати відповідні документи з питань публічних закупвель</t>
  </si>
  <si>
    <t>Проведення та здійснення планування процедур  закупівель.</t>
  </si>
  <si>
    <t>організація закупівель товарно-матеріальних цінностей та послуг; оприлюднення інформації по електронних площадках; знання програми "Prozzoro"</t>
  </si>
  <si>
    <t>Молодший інспектор (поліція)</t>
  </si>
  <si>
    <t>Стан вакансії / Оперативні вакансії</t>
  </si>
  <si>
    <t>Дорівнює</t>
  </si>
  <si>
    <t>Актуальна</t>
  </si>
  <si>
    <t>Батьківський ЦЗ реєстрації / Оперативні вакансії</t>
  </si>
  <si>
    <t>300, ВОЛИНСЬКИЙ ОБЛАСНИЙ ЦЕНТР ЗАЙНЯТОСТІ*</t>
  </si>
  <si>
    <t xml:space="preserve">Контролює та приймає вироби меблів усіх технологій опоряджування. Приймає їх за кількістю, усуває невеликі недоліки. Контролює маркування та пакування продукції.
</t>
  </si>
  <si>
    <t xml:space="preserve">проводить столярні роботи (обобка деревини, виготовлення виробів з дерева, ремонт об'єктів благоустрою та ін.) </t>
  </si>
  <si>
    <t xml:space="preserve">/ виконувати столярні роботи 
</t>
  </si>
  <si>
    <t xml:space="preserve">/Вміння встановлювати віконні та дверні блоки, готувати поверхні під фарбування, зачищати деталі, знати основні способи обробки деревини та дефекти/
</t>
  </si>
  <si>
    <t xml:space="preserve">Проводить столярні роботи (обробка деревини, виготовлення виробів з дерева, ремонт об'єктів благоустрою)
</t>
  </si>
  <si>
    <t xml:space="preserve">/ здійснює обробку деталей на деревообробних верстатах, виконує токарські роботи по кресленням, зразкам і ескізам, робить фрезерування поглиблень; здійснює налагодження устаткування, що обслуговується
</t>
  </si>
  <si>
    <t xml:space="preserve">Виконує поздовжній та поперечний розкрій на верстатах. Виконує торцувальні, розкрій на верстатах, операції свердління, фрезерування на верстатах з ручною подачею. Виготовляє та встановлює прості столярні вироби, деталі меблів та вбудованих меблів.  Виконує налагоджування цих верстатів.
</t>
  </si>
  <si>
    <t xml:space="preserve">/ оброблення та розпилювання деревини на деревообробному верстаті на території Колківського лісгоспу
Графік роботи з 8.00 год до 20.00 год через день,
</t>
  </si>
  <si>
    <t xml:space="preserve"> / оброблення деревини на деревообробних верстатах
Графік роботи позмінний.(1 та 2 зміни)
3 9.00 до 17.00 год та з  17 до 23.00 год
Є житло зі зручностями  для іногородніх
</t>
  </si>
  <si>
    <t xml:space="preserve">/ Приймає деталі для обробки на деревообробних верстатах, укладає деталі на підстопне місце, встановлює різальний інструмент, здійснює стругання деталей і профілювання заготовок на стругальних верстатах, брускових деталей на однобічних рейсмусових верстатах.
</t>
  </si>
  <si>
    <t xml:space="preserve">Проводити огляд сантехнічного обладнання, яке підлягає ремонту, виявлення несправностей,  розбирання вузлів та деталей, ремонт деталей, що вийшли з ладу, чищення, змащування деталей, перевірка роботи обладнання. За необхідності вміти прроводити електрогазозварювальні роботи
</t>
  </si>
  <si>
    <t xml:space="preserve">
Обслуговування внутрішньобудинкових систем теплопостачання, водопостачання, водовідведення та постачання гарячої води.
</t>
  </si>
  <si>
    <t xml:space="preserve"> / Розбирає, ремонтує й складає простої складності деталі та вузли санітарно-технічних систем центрального опалення, водопостачання, каналізації,  та водостоків.
Графік роботи: з 08.00 до 17.00 год
</t>
  </si>
  <si>
    <t>/обслуговування житлового фонду</t>
  </si>
  <si>
    <t xml:space="preserve"> / Виконує автоматичне і механізоване зварювання з використанням плазмотрона складних апаратів, вузлів, конструкцій і трубопроводів з вуглецевих і конструкційних сталей
</t>
  </si>
  <si>
    <t xml:space="preserve">Виконує складні роботи з монтажу систем та устаткування вентиляції, кондиціювання повітря. Знає, розуміє і застосовує діючі нормативні документи, що стосуються його діяльності.
</t>
  </si>
  <si>
    <t>/механоскладальні роботи з металоконструкціями різних конфігурацій.</t>
  </si>
  <si>
    <t xml:space="preserve">/Виробництво сільскогосподарської  техніки та комплектуючих до неї  . Фахівець займається складанням механізмів і пристосувань. Читати складальні креслення,виконувати розмітку на деталях та вузлах,виконувати підготовку деталей та вузлів до зварювальних робіт/
Зарплата висока + премія.
</t>
  </si>
  <si>
    <t xml:space="preserve">/Обслуговування кондиціонерів в автомобілях/
</t>
  </si>
  <si>
    <t>/слюсарні роботи рухомого складу.</t>
  </si>
  <si>
    <t xml:space="preserve">  /Обслуговування та ремонт рухомого складу(вантажних вагонів)/
</t>
  </si>
  <si>
    <t xml:space="preserve">/Ремонт,технічне обслуговування,складання і регулювання вузлів і агрегатів сільгоспмашин, комбайнів, тракторів із заміною окремих частин і деталей,
</t>
  </si>
  <si>
    <t xml:space="preserve">/здійснювати заправку автомобілів, вести облік надходження та витрат паливно-мастильних матеріалів
</t>
  </si>
  <si>
    <t xml:space="preserve">25.03.2020 12:13 тимчасово припинено набір персоналу на час карантину
Здійснювати заправку автомобілів. Вести облік надходження та витрат паливо-мастильних матеріалів.
</t>
  </si>
  <si>
    <t xml:space="preserve">12.05.2020, 15.20, тимчасово припинено набір персоналу на час карантину
здійснювати заправку автомобілів, вести облік надходження та витрат паливно-мастильних матеріалів
</t>
  </si>
  <si>
    <t xml:space="preserve">12.05.2020, 15.50 тимчасово припинено набір персоналу на час карантину
заправку автомобілів, вести облік надходження та витрат паливно-мастильних матеріалів
</t>
  </si>
  <si>
    <t xml:space="preserve">Працювати у бістро "Старе місто", графік роботи: з 9-00 до 21-00, вихідні дні згідно графіку, 
</t>
  </si>
  <si>
    <t>/приготування страв згідно перспективного 2х тижневого меню в кількості до 90 порцій. Звертатися попередньо за телефоном (на період карантину).</t>
  </si>
  <si>
    <t xml:space="preserve">Приготування страв.Контроль за технологією та якістю приготування їжі, оформлення страв на належному рівні. Забезпечення санітарного стану виробничих приміщень. Працювати в кафе "ORANG".
</t>
  </si>
  <si>
    <t xml:space="preserve">Приготування страв в їдальні закладу дошкільної освіти № 13.
</t>
  </si>
  <si>
    <t xml:space="preserve">Приготування страв.Контроль за технологією та якістю приготування їжі, оформлення страв на належному рівні. Забезпечення санітарного стану виробничих приміщень.
</t>
  </si>
  <si>
    <t xml:space="preserve">Приготування страв  згідно технологічних  та санітарних норм.
</t>
  </si>
  <si>
    <t>проводити процеси первинної кулінарної обробки сировини. Здійснювати допоміжні роботи з виготовлення страв та кулінарних виробів. Формувати та панірувати напівфабрикати. Готувати страви та кулінарні вироби, які потребують нескладної кулінарної обробки: варить, смажить, запікає та випікає вироби. Виготовляти страви з концентратів. Порціону вати (комплектувати), роздавати страви масового попиту.</t>
  </si>
  <si>
    <t xml:space="preserve">Роботи проводяться у м. Луцьк, вул. Дубнівська 22/б (Неподалік "Луцькводоканалу"). Шинний центр "Vianor". Приготування комплексних обідів для персоналу. Режим роботи з 7:00 до 19:00 год. Досвід роботи або профільна освіта. Зарплата - за результатами співбесіди. </t>
  </si>
  <si>
    <t xml:space="preserve">/Обслуговує та консультує споживачів щодо асортименту  напоїв, кондитерських виробів,закусок,  змішує компоненти напоїв, готує холодні та гарячі канапки, веде облік реалізованих товарів ,рахує вартість замовлення, здає гроші, оформляє вітрини. Місце проведення роботи ресторан "Васильок".
</t>
  </si>
  <si>
    <t xml:space="preserve">/Наявність посвідчення бармена.Знання рецептів виготовлення коктейлів,знання ПК,комунікабельність.
.Місце проведення робіт с. Війниця бар "Перехрестя"
</t>
  </si>
  <si>
    <t xml:space="preserve">/робота в ресторані "Едем"
</t>
  </si>
  <si>
    <t xml:space="preserve">/робота у закладі громадського  харчування "Автомістечко" , реалізація алкогольних та безалкогольних напоїв, холодних закусок, розрахунок з клієнтами. Робота в зміну 14 робочих днів, заробітна плата вказана за повний робочий місяць/.
</t>
  </si>
  <si>
    <t xml:space="preserve"> / Відпускає споживачам кулінарну продукцію, покупні вагові товари, холодні та гарячі страви, закуски, гарячі напої, хлібобулочні, мучні, кулінарні та кондитерські вироби, молочні продукти відповідно до норм їх виходу та відпускання при потребі зважує, нарізає порціонує, укладає їжу на тарілки, в салатниці та інший посуд, розливає напої в стакани.
</t>
  </si>
  <si>
    <t xml:space="preserve">09.04.2020, 9.10 год - тимчасово припинено набір персоналу на час карантину, 
Відпускає споживачам кухонну продукцію готових страв та інших товарів 
Графік роботи з 8,00 до 20.00
тиждень через тиждень.Робота в кафе "Зустріч". Знання касового апарату
</t>
  </si>
  <si>
    <t xml:space="preserve">/обслуговування відвідувачів; ознайомлення з меню закладу, сервірування столів, графік роботи з 10.00 до 23.00/
</t>
  </si>
  <si>
    <t xml:space="preserve">Обслуговування відвідувачів закладу. Пропозиції вибору замовлень, проведення розрахунків.
</t>
  </si>
  <si>
    <t xml:space="preserve">25.03.2020, 10:54 "Тимчасово припинено набір персоналу на період карантину" 
Знання видів обслуговування споживачів та сервісних столів у ресторанах, правила сервіровки столів та обслуговування різноманітних урочистостей та індивідуальних замовлень, правил подання страв.Дотримання правил етикету під час обслуговування споживачів, правил ведення обліку та виручки, норм виробничої  санітарії та охорони праці. Працювати в кафе "Дакар" по вул. Брестська,111а
</t>
  </si>
  <si>
    <t xml:space="preserve">/Забезпечення здійснення прибирання відповідно до санітарно-гігієнічного та протиепідемічного режиму.  </t>
  </si>
  <si>
    <t xml:space="preserve">/жіночі, чоловічі  стрижки та зачіски. </t>
  </si>
  <si>
    <t xml:space="preserve">/підбирати зачіски з урахуванням особливостей зовнішнього вигляду клієнта; фарбувати волосся в різні кольори і відтінки; стрижка й укладання волосся; хімічна завивка волосся. Доплата за понаднормові. </t>
  </si>
  <si>
    <t xml:space="preserve">Обслуговування  клієнтів перукарні застосовуючи індивідуальний підхід до кожного, виконання різних видів зачісок та стрижок (простих та модельних) ,дотримання санітарно-гігієнічних вимог та особистої гігієни,дотримання правила внутрішнього розпорядку.
</t>
  </si>
  <si>
    <t xml:space="preserve">Індивідуальний  підхід до кожного клієнта, виконання різних видів зачісок та стрижок (простих та модельних) ,здійснює миття  голови,виконує укладання волосся відповідно до напрямку сучасної моди й індивідуальних особливостей особи замовника перукарських послуг.
</t>
  </si>
  <si>
    <t>Жіночі та чоловічі стрижки. Фарбування волосся.  М. Луцьк салон - магазин "Авангард".  Режим роботи з 08,00 до 20,00.</t>
  </si>
  <si>
    <t xml:space="preserve"> /охорона території цукрового заводу/
</t>
  </si>
  <si>
    <t xml:space="preserve">/охорона закріпленої території та сільськогосподарської техніки/
 </t>
  </si>
  <si>
    <t xml:space="preserve"> / забезпечення безпеки торгового залу, графік роботи з 8.00 до 22,00 , сутки через три
</t>
  </si>
  <si>
    <t xml:space="preserve">25.03.2020, 14.40, тимчасово припинено набір персоналу на час карантину
Виконує прості роботи з ремонту, монтажу і демонтажу ліфтового устаткування, визначає та усуває  несправності  ліфтів. Вміти читати електричні схеми.
</t>
  </si>
  <si>
    <t xml:space="preserve">/ Виконує прості роботи з ремонту, монтажу і демонтажу ліфтового устаткування, визначає та усуває  несправності ліфтів. Вміти читати електричні схеми.
</t>
  </si>
  <si>
    <t xml:space="preserve">/обслуговування світлових електроустановок, заміна ламп вуличного освітлення/
</t>
  </si>
  <si>
    <t xml:space="preserve">Здійснює обслуговування  водогрійних та парових котлів ,забезпечує їх безпечну експлуатацію.Перевіряє справність топки,газоходів,запірних і регулюючих приладів. Проводить регулярну чистку котлів.Приймає участь в ремонті обладнання.                                                                                                                                  
</t>
  </si>
  <si>
    <t xml:space="preserve">Забезпечувати безперебійну роботу котла на твердому паливі. Наявність посвідчення не обов'язкове. 
</t>
  </si>
  <si>
    <t xml:space="preserve">Обслуговування водогрійних котлів що працюють на твердому паливі, забезпечення  теплового режиму в виробничих приміщеннях, спостереження за контрольно-вимірювальними приборами, можливе залучення до підтримання чистоти на території підприємства, бажано наявність посвідчення про проходження навчання та допуску до роботи. </t>
  </si>
  <si>
    <t xml:space="preserve">/ Розпалює, пускає, зупиняє котли та постачає їх водою. Подрібнює паливо, завантажує та шурує топку котла. Регулює горіння палива. Спостерігає за допомогою контрольно-вимірювальних приладів рівень води у котлі, тиск пари та температуру води, яка подається в опалювальну систему. Дотримується правил техніки безпеки та протипожежної безпеки.
</t>
  </si>
  <si>
    <t xml:space="preserve">/ Обслуговування насосних установок, поточний ремонт, контролює безперервну роботу насосів                            і двигунів,
Графік роботи з 9,00 год до 18,00 год 
</t>
  </si>
  <si>
    <t xml:space="preserve"> / Ремонт та обслуговування виробничого обладнання.
Графік роботи: з 08.00 до 20.00год
2 дні робочі - 2 вихідні
</t>
  </si>
  <si>
    <t xml:space="preserve">Контролює і приймає особливо складні і відповідальні деталі, вироби після механічного і слюсарного оброблення, а також вузли, механізми, комплекти і конструкції в цілому після остаточного складання з виконанням всіх передбачених технічними умовами випробувань з перевіркою точності виготовлення та складання з застосуванням всілякого спеціального та універсального контрольно-вимірювального інструменту та приладів тощо. </t>
  </si>
  <si>
    <t xml:space="preserve">/ друк полотен на спец. техніці (плотер) готових макетів, друк поліграфії на принтері, перезаправка плотера полотном і тонером, облік випуску продукції за зміну в 1С.
</t>
  </si>
  <si>
    <t xml:space="preserve">Веде процес оброблення з пульта керування особливо складних та великогабаритних деталей на автоматичних та напівавтоматичних лініях верстатів і установок з декількома видами оброблення.
Забезпечує безперебійну роботу автоматичної лінії, підналагоджує устаткування і механізми автоматичної та напівавтоматичної лінії з різними видами керування та агрегатних верстатів в процесі роботи.
</t>
  </si>
  <si>
    <t xml:space="preserve">/ намішувати сировину відповідно до затверджених формул та зразків. Здійснювати поточний аналіз та дослідження (у вигляді термошкафу) сировини, матеріалів, напівфабрикатів, готової продукції.
</t>
  </si>
  <si>
    <t xml:space="preserve">   Проводить аналіз середньої складності за затвердженою методикою без попереднього відокремлення компонентів. Визначає процентний вміст речовини в аналізованих матеріалах різними методами.
</t>
  </si>
  <si>
    <t xml:space="preserve">/пошиття робочого одягу, </t>
  </si>
  <si>
    <t>/пошиття робочого одягу,</t>
  </si>
  <si>
    <t>/ пошиття одягу,</t>
  </si>
  <si>
    <t xml:space="preserve">масове пошиття виробів на оверлок, згідно заданих лекал, бажання працювати. Графік роботи з 9 до 18 з Пн-Пт, Сб-Нд вихідні. Заробітна плата від 6.500. </t>
  </si>
  <si>
    <t xml:space="preserve">Робота пов'язана з пошиттям наматрасників. Слідкує за якістю швів, регулюю машинку. Обов'язкове проходження медогляду, прибираняня свого робочого місця. Можливість доїзду. 
</t>
  </si>
  <si>
    <t xml:space="preserve">/кабельно-провідникова продукція, промислова і побутова автоматика тощо. </t>
  </si>
  <si>
    <t xml:space="preserve">/Продаж канцтоварів та парфюмерії. Графік роботи   3 8.00 до 20.00 три дні працювати, три дні - вихідні або з 9.00 до 18.00 (субота, неділя - вихідні) за змінним графіком./
</t>
  </si>
  <si>
    <t xml:space="preserve">   Приймання  та реалізація товарів промислової групи.
</t>
  </si>
  <si>
    <t xml:space="preserve">Продаж, замовлення, викладення товару. Лікеро-горілчаний відділ. </t>
  </si>
  <si>
    <t xml:space="preserve">/Обслуговування покупців. Передпродажна підготовка товарів. Контроль за збереженням тощо. </t>
  </si>
  <si>
    <t xml:space="preserve">/Готувати товари до продажу: перевіряти цілісність пакування;  перебирати, протирати товари; забезпечувати наявність відповідно оформлених цінників. Режим роботи:  3 дні працювати з 9.00 до 21.00
3 дні вихідний/
</t>
  </si>
  <si>
    <t xml:space="preserve">Здійснювати продаж товарів продовольчої групи  в магазині "Саіна" за адресою: бульвар. Л.Українки,42
</t>
  </si>
  <si>
    <t xml:space="preserve">/  продаж продовольчих товарів (магазин на переїзді,  на аеродромі) Режим роботи  з 9.00 до 22.00.
</t>
  </si>
  <si>
    <t xml:space="preserve">/Робота в магазині "Дует".Наявність санітарної книжки, знання касового апарату.Реалізовувати фасовану та розфасовану продукцію,розташовувати та викладати товар за групами,заповнювати та прикріплювати ярлики цін,прибирати робоче місце в кінці дня, проводити розвантажувально-навантажувальні роботи до 20 кг.
</t>
  </si>
  <si>
    <t xml:space="preserve">/Уміння пропонувати та продавати товар.
</t>
  </si>
  <si>
    <t xml:space="preserve">/Прийом, викладка продукції, обслуговування покупців, контроль за зберіганням товару Готує товари до продажу,перевіряє цілісність пакування; розпаковує із зовнішньої тари; перевіряє наявність маркувальних даних і якість після зберігання; перебирає, протирає, зачищає, нарізує, фасує товари; забезпечує наявність відповідно оформлених цінників; розміщує, викладає товари за групами, видами.
Місце проведення робіт: село Старий Загорів.
</t>
  </si>
  <si>
    <t xml:space="preserve">/.Прийом, викладка продукції, обслуговування покупців, контроль за зберіганням товару Готує товари до продажу,перевіряє цілісність пакування; розпаковує із зовнішньої тари; перевіряє наявність маркувальних даних і якість після зберігання; перебирає, протирає, зачищає, нарізує, фасує товари; забезпечує наявність відповідно оформлених цінників; розміщує, викладає товари за групами, видами.
Робота в смт.ЛОКАЧІ  МАГАЗИН "СМАК " .
</t>
  </si>
  <si>
    <t xml:space="preserve">/Прийом та реалізація товару, нести відповідальність за збереження товару, вивчати попит та пропозиції товару, складання звітності щодо надходження та реалізації товару, дотримання санітарних норм під час роботи з продуктами харчування.
Місце проведення роботи: смт.Локачі, магазин "Олеся" 
</t>
  </si>
  <si>
    <t xml:space="preserve">/Уміння пропонувати та продавати мясні вироби.
Місце проведення роботи- смт.Локачі
</t>
  </si>
  <si>
    <t xml:space="preserve">/Прийом та реалізація товару, нести відповідальність за збереження товару, вивчати попит та пропозиції товару, складання звітності щодо надходження та реалізації товару, дотримання санітарних норм під час роботи з продуктами харчування.
</t>
  </si>
  <si>
    <t xml:space="preserve">/ Уміння пропонувати, продавати товар.
Місце проведення роботи: смт.Локачі магазин "МІДІ- МАРКЕТ" 
</t>
  </si>
  <si>
    <t xml:space="preserve">06.04.2020 11:10 тимчасово припинено набір персоналу на час карантину.
Наявність посвідчення продавця.Навики в роботі.Уміння пропонувати, продавати.Наявність санітарної книжки та мобільного телефону. Місце проведення робіт с.Холопичі
</t>
  </si>
  <si>
    <t xml:space="preserve">/прийомка викладка , продаж товару, консультація покупців 
</t>
  </si>
  <si>
    <t xml:space="preserve">/Продаж продуктів харчування
</t>
  </si>
  <si>
    <t xml:space="preserve">/ продаж та зберігання ,викладка продтоварів для продажу  
в магазин с.Оконськ
</t>
  </si>
  <si>
    <t xml:space="preserve"> / Торгівля продовольчими товарами в магазині  с. Серхів
Графік роботи з 09.00  до 18.00год.
</t>
  </si>
  <si>
    <t xml:space="preserve">/ Торгівля змішаним асортиментом продовольчих товарів
</t>
  </si>
  <si>
    <t xml:space="preserve">/Штучне осіменіння свиноматок, догляд за їхнім станом здоров'я
</t>
  </si>
  <si>
    <t xml:space="preserve">/Здійснює ведення технологічного процесу та спостерігає за роботою обладнання на установках./
</t>
  </si>
  <si>
    <t>/  здійснює валку дерев, заготівлю хмизу, дров і інших сортиментів із дрібного лісу і чагарнику бензомоторними пилками різних типів відповідно до встановлених стандапроводить технічне обслуговування і поточний ремонт бензомоторних пил різних типів, валочного гідравлічного клина й іншого допоміжного інструмента, заміну пильних ланцюгів, очищення, змащення та  заправлення паливом, дотримання  правил техніки безпеки на робочому місці.</t>
  </si>
  <si>
    <t xml:space="preserve">телефонна розмова 10:05 год. від 26.03.2020 р. "тимчасово припинено набір персоналу на час карантину" /миття автомобілів/
</t>
  </si>
  <si>
    <t xml:space="preserve"> Керує екскаватором, виконує роботи з розроблення грунтів вище або нижче рівня стояння машини.
</t>
  </si>
  <si>
    <t xml:space="preserve">керує екскаватором з ковшем; заправляє горючими та мастильними матеріалами дизельний екскаватор; наявність посвідчення;
робота - м. Луцьк вул. Вахтангова, 10-в
</t>
  </si>
  <si>
    <t xml:space="preserve">Стропує та ув'язує прості вироби, деталі, лісові (довжиною до 3 м) та інші аналогічні вантажі для їх піднімання, переміщення і укладання. Стропує та ув'язує вантажі середньої складності, лісові вантажі, вироби, деталі та вузли з установленням їх на верстат, помости та інші монтажні пристрої і механізми, а також інші аналогічні вантажі масою до 5 т для їх піднімання, переміщення та укладання. Вибирає способи для швидкого й безпечного стропування та переміщення.
</t>
  </si>
  <si>
    <t xml:space="preserve">/Встановлювати прилади поквартирного обліку води/
</t>
  </si>
  <si>
    <t>/обслуговування  та ремонт електроустаткування.</t>
  </si>
  <si>
    <t xml:space="preserve">Виконує роботи з ремонту та обслуговування електроустаткування .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t>
  </si>
  <si>
    <t xml:space="preserve">Обслуговує силові та освітлювальні установки, а також устаткування з автоматичним регулюванням технологічного процесу. Здійснює монтаж і ремонт кабельної мережі напругою понад 35 кВ, з монтуванням увідних пристроїв і з'єднувальних муфт. Виконує ремонт, монтаж, установлення і налагодження ртутних випрямлячів і високочастотних установок потужністю понад 1000 кВт./
</t>
  </si>
  <si>
    <t xml:space="preserve">Забезпечувати справний стан, безперебійну та надійну роботу обслуговуваних пристроїв і устаткування, правильну їх експлуатацію, своєчасний якісний ремонт  устаткування.
</t>
  </si>
  <si>
    <t xml:space="preserve">/Ремонт та обслуговування обладнання, силові лінії, двигуни різних типів. Дотримання безпечних умов праці/.
</t>
  </si>
  <si>
    <t xml:space="preserve">/ проведення ремонтних робіт обладнання на виробництві (холодильного, теплового, електричного). Пересувний характер роботи по об'єктах, яким забезпечується надання послуг з організації харчування.
Додаткові вимоги до працівника: досвід роботи по аналогічних обов'язках, бажано в сфері громадського харчування.
Місце проведення робіт - м. Сарни Рівненської області
</t>
  </si>
  <si>
    <t xml:space="preserve">/ проведення ремонтних робіт обладнання на виробництві (холодильного, теплового, електричного). Пересувний характер роботи по об'єктах, яким забезпечується надання послуг з організації харчування.
Додаткові вимоги до працівника: досвід роботи по аналогічних обов'язках, бажано в сфері громадського харчування.
Місце проведення робіт - смт. Маневичі
</t>
  </si>
  <si>
    <t xml:space="preserve">/  Ремонт обслуговування  електроустаткування в медичних закладах. Робота день через день з 08.00 до 20.00год.
</t>
  </si>
  <si>
    <t xml:space="preserve">/ Виконує роботи з ремонту та обслуговування електроустаткування.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Здійснює оброблення, зрощування, ізолювання і паяння проводів напругою до 1000 В.
</t>
  </si>
  <si>
    <t xml:space="preserve">Забезпечує безаварійну і надійну роботу пристроїв зв'язку. Вивчає умови роботи пристроїв, виявляє причини передчасного зносу, вживає заходів щодо їх попередження та усунення. Контролює правильність експлуатації пристроїв зв'язку </t>
  </si>
  <si>
    <t>Забезпечує безаварійну і надійну роботу пристроїв зв'язку. Вивчає умови роботи пристроїв, виявляє причини передчасного зносу, вживає заходів щодо їх попередження та усунення. Контролює правильність експлуатації пристроїв зв'язку</t>
  </si>
  <si>
    <t xml:space="preserve">/ вручну або на механічних пилках розділяти туші одного виду худоби на частини. </t>
  </si>
  <si>
    <t xml:space="preserve">    Здійснювати роботу по обробці риби та морепродуктів. Дотримання санітарних норм.
 </t>
  </si>
  <si>
    <t xml:space="preserve">Здійснювати роботу по обробці риби та морепродуктів. Дотримання санітарних норм.
</t>
  </si>
  <si>
    <t xml:space="preserve">/знати  рецептуру і технологію виготовлення кексів, рулетів , печива роздрібного асортименту, складних тортів та тістечок./
</t>
  </si>
  <si>
    <t xml:space="preserve"> / Збирає  цукерки на лінії, фасує в ящики, відкидає технологічний брак цукерок.
Графік роботи: з 08.00 до 20.00год
2 дні робочі - 2 вихідні
</t>
  </si>
  <si>
    <t xml:space="preserve">/ Обробляти деталі, площини і бічні поверхні деталей  на свердлильних верстатах, вміння працювати на 
 автоматичних свердлильних верстатах.
</t>
  </si>
  <si>
    <t xml:space="preserve">/ здійснення компактування на гідравлічному пресі, контроль ваги нетто напівфабрикатів. </t>
  </si>
  <si>
    <t xml:space="preserve">/токарні роботи з металоконструкціями відповідно креслень. </t>
  </si>
  <si>
    <t xml:space="preserve"> /Токарне оброблення деталей, операціїї з обточування і розточування/
</t>
  </si>
  <si>
    <t xml:space="preserve">Виготовлення замовлених  деталей. Поточний ремонт, обробка  деталей для автотранспортних засобів. Дотримання безпечних умов праці
</t>
  </si>
  <si>
    <t xml:space="preserve">\ Виточування деталей для автомобілів. Робота з 9.00 до 18.00 год
</t>
  </si>
  <si>
    <t xml:space="preserve">/ виточування деталей з металу на токарному верстаті, графік роботи з 8:00 год до 17:00 год
</t>
  </si>
  <si>
    <t xml:space="preserve">/фрезерувальні роботи з металоконструкціями. </t>
  </si>
  <si>
    <t xml:space="preserve">/Будівельні роботи, контактний телефон </t>
  </si>
  <si>
    <t>/ремонтні роботи житлового фонду</t>
  </si>
  <si>
    <t xml:space="preserve">/виконує роботи з мурування або ремонту конструкцій зі штучних і природних будівельних матеріалів/
Доплата з понаднормові години та відрядні
</t>
  </si>
  <si>
    <t>/ Приймає, доставляє, розпаковує сировину, матеріали, готову продукцію, металеву тару. Видаляє технологічний брак, складає відходи в тару, зважує, транспортує. Пускає та зупиняє сортувальні та транспортні механізми.</t>
  </si>
  <si>
    <t xml:space="preserve">виконання робіт при укладанні та ремонті  кам'яних конструкцій, будівель, промислових споруджень; дотримання правил охорони праці;
робота - м. Луцьк вул. Вахтангова, 10-в
</t>
  </si>
  <si>
    <t xml:space="preserve">/проводити дрібний ремонт приміщень/
</t>
  </si>
  <si>
    <t xml:space="preserve">/загально-будівельні роботи. </t>
  </si>
  <si>
    <t xml:space="preserve">/ робота на висоті, ремонт рулонних покрівель та покрівель з штучних матеріалів. </t>
  </si>
  <si>
    <t>робота на висоті.</t>
  </si>
  <si>
    <t xml:space="preserve">/Контроль і керування роботою газової зерносушарки/
</t>
  </si>
  <si>
    <t>27.03-тимчасово припинено набір персоналу на час карантину
формування букетів, продаж квітів, прийом товару, догляд за рослинами</t>
  </si>
  <si>
    <t xml:space="preserve">/ремонт та обслуговування вантажних автомобілів.  </t>
  </si>
  <si>
    <t xml:space="preserve">/Виконує роботи з розбирання, ремонту і складання вузлів і механізмів автотранспортних засобів відповідно до ТУ заводу-виготовлювача та іншими керівними матеріалами з організації робіт./
</t>
  </si>
  <si>
    <t xml:space="preserve">Монтаж додаткового обладнання автомобілів (встановлення паркувальних систем, камер заднього та переднього виду, покращення якості світла, тонування, мультимедійні системи автомобіля).
</t>
  </si>
  <si>
    <t xml:space="preserve">технічний ремонт і обслуговування автомобілів різних марок, знання складових автомобіля, дотримуватись правил техніки безпеки;
робота - м. Луцьк вул. Вахтангова, 10-в
</t>
  </si>
  <si>
    <t xml:space="preserve">дільниця водозабору. </t>
  </si>
  <si>
    <t>/своєчасно та якісно виконувати ремонт обладнання виробничої ділянки, ремонт технічного оснащення, вузлів та механізмів станків.</t>
  </si>
  <si>
    <t xml:space="preserve">   Виконує сюсарну обробку деталей ,виготовляє пристосування середньої складності для ремонту.
</t>
  </si>
  <si>
    <t xml:space="preserve">Робота в автомайстерні, переобладнання автомобілів, обшивка салонів авто, ремонт сидінь, встановлення меблів та сантехніки  в автомобілі. (район Вишкова)
</t>
  </si>
  <si>
    <t xml:space="preserve">
/Розбирає, ремонтує, складає і випробує складні і особливо складні складові одиниці і механізми устаткування. Виконує ремонт, монтаж, демонтаж, випробування, регулювання, налагодження складного устаткування, агрегатів і машин і здає їх після ремонту,
</t>
  </si>
  <si>
    <t>заробітна плата сягає від 7000,00 до 9000,00 грн, виконувати слюсарні та ремонтні роботи, підприємство займається виготовленням металопрофілю ,каркасів, дотримання правил техніки безпеки (робота в с.Липини)</t>
  </si>
  <si>
    <t xml:space="preserve">Виконувати поздовжне розпилювання колод,дотримуватись техніки безпеки на виробництві.                         
</t>
  </si>
  <si>
    <t xml:space="preserve">/роботи на пилорамі по розпилюванню деревини
Графік роботи позмінний.(1 та 2 зміни)
3 9.00 до 17.00 год та з  17 до 23.00 год
Є житло зі зручностями  для іногородніх
</t>
  </si>
  <si>
    <t xml:space="preserve">/роботи на пилорамі по розпилюванню деревини на території Колківського лісгоспу
Графік роботи позмінний 
з 8.00 год до 20.00 год через день,
</t>
  </si>
  <si>
    <t xml:space="preserve">/роботи на пилорамі по розпилюванню деревини
</t>
  </si>
  <si>
    <t xml:space="preserve">прийом товару на склад та облік товару на складі, ведення складської документації
Графік роботи з 08.00 до 17.00 год.
</t>
  </si>
  <si>
    <t xml:space="preserve"> / Організація роботи цеху, контроль за роботою працівників цеху, переміщення сировини та готової продукції , знання програми 1С.
Графік роботи: з 08.00 до 20.00год 
2 дні робочі - 2 вихідні
</t>
  </si>
  <si>
    <t xml:space="preserve">Проводити технічний огляд транспортних засобів при виїзді з автобусного парку
</t>
  </si>
  <si>
    <t xml:space="preserve"> / Забезпечує  безаварійну і надійну роботу всіх видів устаткування цеху, його правильну  експлуатацію, своєчасний якісний ремонт і технічне обслуговування, проводить роботи з  модернізації  і підвищення економічності ремонтного  обслуговування обладнання.
Графік роботи: 09.00 до 17.30год
</t>
  </si>
  <si>
    <t xml:space="preserve">/ ведення бухгалтерського обліку, первинної бухгалтерії, знання 1С8, "Медок".
</t>
  </si>
  <si>
    <t xml:space="preserve">/Вести нарахування і перерахування платежів,  податків і інших виплат. Знання програм:   
 "1 С-Бухгалтерія","Medoс", "Банк-Клієнт" .
</t>
  </si>
  <si>
    <t xml:space="preserve">/Вести бухгалтерський облік на підприємстві, знання програми 1-С бухгалтерія/
Конкурс відбудеться 15.08.2020 року  об 11.00 в приміщенні офісу.
</t>
  </si>
  <si>
    <t xml:space="preserve">/Знання договірної роботи. Забезпечує повне та достовірне відображення інформації, що міститься у прийнятих до обліку первинних документах, на рахунках бухгалтерського обліку. Готує дані для включення їх до фінансової звітності. 
</t>
  </si>
  <si>
    <t xml:space="preserve">/ведення бухгалтерського обліку на підприємстві,оформлення і здача фінансової звітності.Знання програми 1С:бухгалтерія (версія 8)./
</t>
  </si>
  <si>
    <t xml:space="preserve">Ведення бухгалтерської звітності ФОП, торгового підприємства, ПДВ.
Вимоги: Знання програм 1С підприємництво 8.3, конфігурація BAS управління торгівлею.
</t>
  </si>
  <si>
    <t xml:space="preserve">/Ведення бухгалтерського обліку в програмі 1С Бухгалтерія 8 версії.
</t>
  </si>
  <si>
    <t xml:space="preserve">Ведення бухгалтерського обліку, подача податкової,статистичної,фінансової звітності, знання програми 1С- бухгалтерія, Me-dok
</t>
  </si>
  <si>
    <t xml:space="preserve">Самостійно складає або приймає до обліку первинні документи, систематизує інформацію, відображену в цих документах, готує проміжні розрахунки для обліку господарських операцій та подає їх на розгляд.знання ПК - на рівні користувача (офісний пакет), 1С Підприємство (бажано 1С 8.2)
</t>
  </si>
  <si>
    <t xml:space="preserve">/Ведення бухгалтерського обліку, складання звітності.
</t>
  </si>
  <si>
    <t xml:space="preserve"> / Ведення бухгалтерського обліку, здача річних квартальних звітів, знання бухгалтерських програм
Графік роботи: з 09.00 до 18.00год
</t>
  </si>
  <si>
    <t xml:space="preserve">/ Ведення бухгалтерської та податкової звітності, нарахування заробітної плати, досвід роботи з виробничою діяльністю підприємств.
</t>
  </si>
  <si>
    <t xml:space="preserve">/ведення нарахування заробітної плати, сплати податків, кадрових питань/
</t>
  </si>
  <si>
    <t xml:space="preserve">//Здійснює навчання і виховання учнів із урахуванням специфіки навчального предмета математики, проводить уроки й інші навчальні заняття в закріплених за ним класах згідно з розподілом навчального навантаження, забезпечує під час занять належний порядок і дисципліну. </t>
  </si>
  <si>
    <t xml:space="preserve">/Доставка пошти, пенсій, товарів народного споживання. Матеріальна відповідальність.0,45 окладу
</t>
  </si>
  <si>
    <t xml:space="preserve">Здійснює відкриття (закриття) та ведення рахунків фізичних осіб у національній та іноземній валютах, також в банківських металах.Проводить виплату заробітної плати, пенсій, грошових допомог, соціальних та інших виплат, а також сум компенсацій за грошовими заощадженнями та цінними паперами.
</t>
  </si>
  <si>
    <t xml:space="preserve">/Виконує обов’язки головного архітектора району, організовує ведення містобудівного кадастру на території району та надає адміністративні послуги передбачені законодавством.
</t>
  </si>
  <si>
    <t xml:space="preserve"> / Проводить кваліфіковане ультразвукове обстеження із застосуванням інтервенційних лікувально -діагностичних методів.
Графік роботи: з 08.00 до 17.00 год
</t>
  </si>
  <si>
    <t xml:space="preserve">/Здійснювати динамічне спостереження за станом здоро'ям кожного члена сім'ї з проведенням необхідного обстеження й оздоровлення за індівідуальним планом./
</t>
  </si>
  <si>
    <t xml:space="preserve">/
Керується чинним законодавством України про охорону здоров'я та нормативно-правовими актами.
 Здійснює динамічне спостереження за станом здоров'я.  Застосовує сучасні методи діагностики, лікування та реабілітації пацієнтів.  Здійснює нагляд за побічними реакціями/діями лікарських засобів.
</t>
  </si>
  <si>
    <t xml:space="preserve">/ Надання якісної медичної та фармацевтичної допомоги населенню, диспансеризація хворих педіатричного профілю та ведення медичної документації, проведення санітарно-освітньої роботи. Необхідність інтернатури за фахом "Педіатрія".
</t>
  </si>
  <si>
    <t xml:space="preserve"> / Здійснює психопрофілактику серед людей груп ризику, психодіагностику  та лікування хворих соматичного й психічного профілю спільно з відповідними лікарями-спеціалістами, психологічну реабілітацію із застосуванням спеціальних методик.
Надає психологічну допомогу особам різного віку, неспроможним справитися з несприятливими умовами, що склалися в їхньому житті.
Планує роботу та аналізує її результати. 
Графік роботи: з 08.00 до 17.00 год
</t>
  </si>
  <si>
    <t xml:space="preserve"> / Забезпечує кваліфіковану діяльність станцій та відділень переливання крові. Здійснює комплектування донорів (крові, плазми, клітин крові та кісткового мозку). Контролює якість заготовленої крові та її компонентів, сучасних гемоконсервантів і кріоконсервантів.
Графік роботи з 08.00 до 17.00год
</t>
  </si>
  <si>
    <t xml:space="preserve">/Навчання учнів практичному водіннню автомобіля, технічному обслуговування і поточному ремонту транспортного засобу./
</t>
  </si>
  <si>
    <t xml:space="preserve">/ Здійснює організаційно-технологічне керівництво в галузі рослинництва.
З огляду на конкретні виробничі екологічні умови проводить роботу з упровадження й освоєння науково обґрунтованої системи землеробства та подальшої інтенсифікації рослинництва з метою збільшення виробництва і підвищення якості продукції рослинництва.
</t>
  </si>
  <si>
    <t xml:space="preserve">/Проведення комплексної оцінки з метою визначення особливих освітніх   потреб  дитини,  надання психолого-педагогічних та корекційно-розвиткових послуг дітям з особливими освітніми потребами,
надання консультацій та взаємодія з педагогічними працівниками закладів дошкільної, загальної середньої, професійної (професійно-технічної) освіти.
</t>
  </si>
  <si>
    <t xml:space="preserve">/машиніст крана автомобільного, виконання робіт на крані вантажопідйомністю до 10 т./
</t>
  </si>
  <si>
    <t>/  перевезення вантажів на підприємстві</t>
  </si>
  <si>
    <t xml:space="preserve">/Здійснювати доставку,завантаження-вивантаження вантажів/
</t>
  </si>
  <si>
    <t xml:space="preserve">/ Керує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 Проводить технічне обслуговування і поточний ремонт навантажувача і всіх його механізмів. Визначає несправності в роботі навантажувача, його механізмів і усуває їх. Встановлює і замінює знімні вантажозахоплювальні пристрої та механізми. Бере участь у проведенні планово-запобіжного ремонту навантажувача.
</t>
  </si>
  <si>
    <t xml:space="preserve">Підсобні роботи у харчоблоці дитячого садочку. Графік роботи з 7,30 до 16,30 год
</t>
  </si>
  <si>
    <t xml:space="preserve">Виконувати підсобні та допоміжні роботи у під'їздах багатоповерхівок міста. Благоустрій прибудинкової території 
</t>
  </si>
  <si>
    <t xml:space="preserve">Виконує підсобні та допоміжні роботи на виробничих дільницях та будівельних майданчиках, складах , тощо. Виконує навантаження, вивантаження, переміщення вручну та на візках (вагонетках) і укладання різних видів. Очищає територію, дороги, під'їзні шляхи. Прибирає цехи, будівельні майданчики та санітарно-побутові приміщення.
</t>
  </si>
  <si>
    <t xml:space="preserve">Вигрузка деревного вугілля з бочок. 
</t>
  </si>
  <si>
    <t xml:space="preserve">/Виконання підсобних робіт/
</t>
  </si>
  <si>
    <t xml:space="preserve">/Виконувати підсобні роботи у господарстві,
</t>
  </si>
  <si>
    <t xml:space="preserve">/Виконувати підсобні роботи в господарстві.Навики в роботі.Знання своєї справи.
</t>
  </si>
  <si>
    <t xml:space="preserve">/підсобні роботи в деревообробному цеху, а саме складання палет, корування деревини, графік роботи з 8.00 год до 17.15 год
</t>
  </si>
  <si>
    <t xml:space="preserve">/ Підсобні роботи в деревообробному цеху
</t>
  </si>
  <si>
    <t>Пошук замовлень, робота із замовниками та укладання договорів,організація виробничої,технічної та творчої діяльності виробничого колективу.,здійснення технічного керівництва пректно-вишукувальними роботами пвд час проектування об’’єкта</t>
  </si>
  <si>
    <t xml:space="preserve">/загально-будівельні штукатурні роботи. </t>
  </si>
  <si>
    <t xml:space="preserve">Обштукатурювання поверхонь та ремонт штукатурки.
</t>
  </si>
  <si>
    <t xml:space="preserve">/проведення малярних робіт на будівництві
</t>
  </si>
  <si>
    <t xml:space="preserve"> / Здійснює випічку вафельного листа
Графік роботи: з 08.00 до 20.00год
2 дні робочі-2 вихідні
</t>
  </si>
  <si>
    <t xml:space="preserve">Здійснює художнє та організаційне керівництво роботою із створення музичного оформлення вистав (програм). Відпрацьовує  принципи та методи використання музики, бере участь у формуванні планів вистав (програм).  Здійснює підготовку музичного матеріалу.  
</t>
  </si>
  <si>
    <t xml:space="preserve">/Виконувати обовязки керівника районного будинку культури.
</t>
  </si>
  <si>
    <t xml:space="preserve">25.03.2020,14:00 "Тимчасово припинено набір персоналу на період карантину" 
Організація  виховання дітей дошкільного віку в дитячому садку, безпека життя та здоров'я дітей.
</t>
  </si>
  <si>
    <t xml:space="preserve">25.03.2020, 11:55 "Тимчасово припинено набір персоналу на період карантину"
Організація  виховання дітей дошкільного віку в дитячому садку, безпека життя та здоров'я дітей.
</t>
  </si>
  <si>
    <t xml:space="preserve">/ Здійснює навчальну,виховну, реабілітаційну роботу з дітьми, які мають вади у фізичному або розумовому розвитку./
</t>
  </si>
  <si>
    <t xml:space="preserve">Проведення оцінки навчальної діяльності дитини, надання корекційно - розвиткових послуг.
</t>
  </si>
  <si>
    <t xml:space="preserve">/Педагогічна діяльність з дітьмию що мають інтелектуальні порушення, корекційно-виховна робота. Наявність попереднього медичного огляду.
</t>
  </si>
  <si>
    <t xml:space="preserve"> інженер має мати навики по ремонту електрики, електромонтажних робіт, виконробу, зароб.плата від 12000,00 до 18000,00 грн.( можливий ненормований робочий день, можливі відрядження в межах України).Робота в м.Луцьку
Здійснення монтажних робіт, монтаж кабельних трас, роботи на висоті, прокладання електропроводки, монтаж зовнішніх ліній електропередач, встановлення трансформаторних підстанцій, монтаж силового електрообла</t>
  </si>
  <si>
    <t xml:space="preserve">Розширення ринків збуту, збільшення об'єму продажів, прийом та оформлення замовлень, робота з продуктово-промисловою групою товарів. Відрядження по Волинській обл. Наявність власного авто.
</t>
  </si>
  <si>
    <t>фармацевтичне обслуговування та забезпечення  споживачів лікарськими засобами та виробами медичного призначення на основі прийому ефективних методів продажу</t>
  </si>
  <si>
    <t xml:space="preserve">Ведення шкільної документації . Робота з вхідною та вихідною кореспонденцією. Здійснення архівної та кадрової роботи. Підготовка документів за запитом громадян
</t>
  </si>
  <si>
    <t xml:space="preserve">/ Організовує своєчасну підготовку виробництва, раціональне завантаження та роботу устаткування.
Здійснює оперативний контроль за забезпеченням матеріальними та енергетичними ресурсами, технічно правильною експлуатацією устаткування та інших основних засобів, економним витрачанням сировини, палива, матеріалів, виявляє, запобігає та усуває причини порушень процесу виробництва. Бере участь у роботі з оперативного планування виробництва.
</t>
  </si>
  <si>
    <t xml:space="preserve">/Проводить лабораторні дослідження з метою діагностики вірусних інфекцій та нагляду за циркуляцією вірусів серед населення і в об'єктах довкілля. Бере участь в прогнозуванні захворюваності та проведенні протиепідемічних та профілактичних заходів/
Передбачена доплата за атестаційну категорію, за вислугу років та оздоровлення. 
Графік роботи з 8.00 до 15.52
</t>
  </si>
  <si>
    <t xml:space="preserve">/Виконувати роботу спеціаліста  державної служби (служба у справах дітей),
Місце проведення робіт с.Затурці.
</t>
  </si>
  <si>
    <t xml:space="preserve">/Мийка машин.
</t>
  </si>
  <si>
    <t xml:space="preserve">/ веде позовну діяльність,розробляє документи правового характеру,заключає договори/
Конкурс відбудеться 15.08.2020 року об 11.00 в приміщенні офісу.
</t>
  </si>
  <si>
    <t xml:space="preserve">обслуговування, ремонт та усунення несправностей електричних приладів в авто;
робота - м. Луцьк вул. Вахтангова, 10-в
</t>
  </si>
  <si>
    <t xml:space="preserve">Надання інформації щодо паркувальних послуг, контроль часу перебування автомобіля на стоянці та оплати наданих послуг.
</t>
  </si>
  <si>
    <t xml:space="preserve"> / виробляє зарядку касет і фотоапаратів різних систем негативами матеріалами, фотографує на документи в павільйон, друк фотознімків.т. </t>
  </si>
  <si>
    <t xml:space="preserve">/перевезення вантажів вантажним автомобілем, категорії В,С,Е. </t>
  </si>
  <si>
    <t xml:space="preserve">/перевезення вантажів/
</t>
  </si>
  <si>
    <t xml:space="preserve">/Мати права категорії С, Д, перевезення по Україні та за кордон/
</t>
  </si>
  <si>
    <t xml:space="preserve">Оформлення дорожніх документів. Перевірка технічного стану і приймання автомобіля перед виїздом на лінію. Перевезення пасажирів по м. Ковель.
</t>
  </si>
  <si>
    <t xml:space="preserve">/Перевезення вантажів по Україні та за її межами. Оформлення дорожніх документів. Перевірка технічного стану і приймання автомобіля перед виїздом на лінію. Подача автомобілія під навантаження вантажів, а також під розвантаження вантажів. Контроль за правильністю навантаження, розміщення і закріплення вантажу.
</t>
  </si>
  <si>
    <t xml:space="preserve">Перевезення пасажирів автобусом ПАЗ по маршруту Ковель - Гончий Брід, Ковель - Перковичі.
</t>
  </si>
  <si>
    <t xml:space="preserve"> Здійснювати  вантажні перевезення,слідкувати за збереженням  вантажів.                                                                      
</t>
  </si>
  <si>
    <t xml:space="preserve">/Здійснення перевезень на автомобілі класу Євро-5 з тентованим напівпричепом по напрямку Україна - Німеччина, слідкувати за технічним  станом, цілісністю і зберіганням  транспортного засобу/.
</t>
  </si>
  <si>
    <t xml:space="preserve">  Здійснювати  пасажирські перевезення згідно встановлених маршрутів.
</t>
  </si>
  <si>
    <t xml:space="preserve">/Здійснювати вантажні перевезення в міжнародних напрямках на автомобілі MAN категорії 5 ( причіпні, тентовані, бортові і штори 100 м3)/  
</t>
  </si>
  <si>
    <t xml:space="preserve">   ./Пасажирські перевезення в межах області.Виявляти та  усувати несправності в результаті поломки на дорозі; брати участь у ремонті автомобіля в стаціонарних умовах, проводити технічне обслуговування автомобіля.
Дотримуватись правил дорожнього руху, техніки безпеки.
</t>
  </si>
  <si>
    <t>/Перевезення вантажів по області та району. Дотримання правил дорожнього руху.</t>
  </si>
  <si>
    <t xml:space="preserve">/Наявність прав водія  вантажного автомобіля категорії С1.Перевезення вантажу.
</t>
  </si>
  <si>
    <t xml:space="preserve">Здійснення пасажирських перевезень маршрутного таксі з  м. Луцьк - м. Ківерці, наявність категорій Д , </t>
  </si>
  <si>
    <t xml:space="preserve">Здійснення пасажирських перевезень маршрутного таксі по м. Луцьк, наявність категорій Д </t>
  </si>
  <si>
    <t xml:space="preserve">
Доставка металопластикових конструкцій (вікна, двері), алюмінієвих конструкцій, можливо відрядження по Україні. Досвід роботи у перевезені металопластикових конструкцій. </t>
  </si>
  <si>
    <t xml:space="preserve"> / перевезення працівників, перевезення матеріалів та сировини
Графік роботи з 08.00 до 20.00год
2 дні робочі - 2 вихідні
</t>
  </si>
  <si>
    <t xml:space="preserve">Здійснює міжнародні перевезення вантажів. </t>
  </si>
  <si>
    <t xml:space="preserve">/ перевезення будівельних матеріалів та товарів для дому по Маневицькому району, наявність прав водія категорії "В" і "С", графік роботи - з 9,00 год до 18,00 год
</t>
  </si>
  <si>
    <t xml:space="preserve">/  Уміння керувати  автомобільними транспортними засобами за різних дорожніх умов. Виконувати вимоги правил дорожнього руху, правил перевезень пасажирів . Забезпечувати належний технічний стан автотранспортного засобу, усунення незначних експлуатаційних навантажень, які виникли під час роботи , </t>
  </si>
  <si>
    <t xml:space="preserve">/керування вантажними автомобілями типу КАМАЗ, перевезення сільськогосподарських вантажів/
</t>
  </si>
  <si>
    <t xml:space="preserve">/керування автомобілем КАМАЗ з причепом, перевезення вантажів/
</t>
  </si>
  <si>
    <t xml:space="preserve">/Розбирає прилади електроустаткування на окремі складові одиниці. Очищає ,промиває,протирає та продуває стисненим повітрям деталі, прилади ,агрегати електроустаткування автомобілів із застосуванням простих ручних пристроїв і обладнання.
</t>
  </si>
  <si>
    <t xml:space="preserve">ремонт та обслуговування електроустаткування 
Робота з 09.00 до 13.00
25.03.2020 (09.54 год, Цьопух Л.В.) тимчасово припинено набір персоналу на час карантину
</t>
  </si>
  <si>
    <t xml:space="preserve">/Помічник машиніста тепловозу виконує роботу по прийманню і здачі тепловоза на початку і в кінці зміни, веденню поїзда, виконанню маневрової роботи, службового ремонту та підготовці тепловоза до комісійного огляду. </t>
  </si>
  <si>
    <t xml:space="preserve">робота з меблями, монтаж , складання індивідуальних замовлень меблів, кухонь, 
(заробітна плата може сягати до 25000 грн.)
</t>
  </si>
  <si>
    <t xml:space="preserve">/ ведення вхідної і вихідної документації./
 Конкурс відбудеться 15.08.2020 року об 11.00 в приміщенні офісу.
</t>
  </si>
  <si>
    <t xml:space="preserve">Економіст сектору кредитів в ТЦ ПаркСіті, м. Ковель, вул. О.Пчілки. Обов"язки: видача готівкових кредитів та кредитів на товар, залучення клієнтів, проведення презентацій. Оформлення та підписання документів з клієнтом. 
Вимоги: знання ПК. Бажано досвід роботи у банку.
</t>
  </si>
  <si>
    <t xml:space="preserve">Економіст сектору кредитів смт. Іваничі. Обов"язки: видача готівкових кредитів та кредитів на товар, залучення клієнтів, проведення презентацій. Оформлення та підписання документів з клієнтом. 
</t>
  </si>
  <si>
    <t xml:space="preserve">/Аналіз планово-економічної діяльності підприємства. Робота з документами. Виконання обов'язків згідно посадової інструкції. </t>
  </si>
  <si>
    <t xml:space="preserve">Готує вихідні дані для складання проектів господарсько-фінансової, виробничої та комерційної діяльності (бізнес-планів) підприємства. Виконує розрахунки з матеріальних, трудових і фінансових витрат, необхідних для виробництва і реалізації продукції. 
</t>
  </si>
  <si>
    <t xml:space="preserve">/ вміння читати та складати базові електричні схеми, базові знання пневмопристроїв, обслуговування, налагодження та ремонт електро-технічного обладнання. </t>
  </si>
  <si>
    <t xml:space="preserve">/Обслуговування електромережі, контроль за  вуличним  освітленням. Дотримання безпечних умов праці./
</t>
  </si>
  <si>
    <t xml:space="preserve">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t>
  </si>
  <si>
    <t xml:space="preserve">/розробка технологічного процесу виготовлення нової продукції; перевірка наявних та розробка нових рецептур і технологічних карт;працювати на Хмельницькій кондитерській фабриці
</t>
  </si>
  <si>
    <t xml:space="preserve">/обслуговування обладнання у відділенні амбулаторного гемодіалізу/
</t>
  </si>
  <si>
    <t xml:space="preserve">/розкладати продукцію в супермаркеті. 5 днів робочих, 2 вихідних, робочі години залежать від групи інвалідності. </t>
  </si>
  <si>
    <t xml:space="preserve">/Відбір проб зерна готоваї продукції, проведення аналізів, поточний контроль якості зерна готової продукції/
</t>
  </si>
  <si>
    <t xml:space="preserve">/ проведення лікувально-профілактичних робіт в період вирощування птиці
</t>
  </si>
  <si>
    <t xml:space="preserve">25.03.2020, 12.35, тимчасово припинено набір персоналу на час карантину
Проведення лікувально-профілактичної роботи в період вирощування птиці.
</t>
  </si>
  <si>
    <t xml:space="preserve">Здійснює організацію бухгалтерського обліку господарсько-фінансової діяльності та контроль за ощадливим використанням матеріальних, трудових і фінансових ресурсів, схоронністю власності підприємства. Знання ПК, 1С8, Медок, комунікабельність. </t>
  </si>
  <si>
    <t>/повне знання бухгалтерії, програми 1С-8.</t>
  </si>
  <si>
    <t xml:space="preserve">Здійснювати організацію та ведення бухгалтерського обліку, господарсько-фінансової діяльності Знання 1с-8 версія. Досвід роботи з давальницькою сировиною та з процесом виробництва
</t>
  </si>
  <si>
    <t xml:space="preserve">/Знання програми 1С: бухгалтерія  (версія 8).  Ведення фінансової та податкової звітності./
</t>
  </si>
  <si>
    <t xml:space="preserve">/ведення фінансової та податкової звітності.Знання 1С-Бухгалтерія (версія 8)./
</t>
  </si>
  <si>
    <t xml:space="preserve">/Ведення бухгалтерського обліку. Облік та контроль фінансової діяльності підприємства./
</t>
  </si>
  <si>
    <t xml:space="preserve">/Знати нормативні, методичні та інші керівні матеріали з організації та ведення бухгалтерського обліку та складання фінансової звітності; облікову політику, систему регістрів бухгалтерського обліку, порядок і способи реєстрації інформації, знання ПК та 1-С бухгалтерія. </t>
  </si>
  <si>
    <t xml:space="preserve">/Здійснює контроль якості будівельно- монтажних робіт.Контролює відповідальність якості матеріалів, конструкцій  та деталей. Бере участь у розробленні , удосконаленні  та впровадженні  системи управління якістю.
</t>
  </si>
  <si>
    <t xml:space="preserve">/Розглядає та аналізує рекламації щодо якості робіт, вивчає причини погіршення якості матеріалів. Вивчає передовий досвід розроблення та вдосконалення системи управління якістю. Знає  ірозуміє діючі нормативні документи. веде облік і звітність.
</t>
  </si>
  <si>
    <t xml:space="preserve">/Налагодження компютерної техніки, робота з програмами.
</t>
  </si>
  <si>
    <t>/ складання креслень для виробництва, знання програм: АВТОКАД, "Компас 3DV14".</t>
  </si>
  <si>
    <t xml:space="preserve">/ знання ПК, робота в 1С8 склад, прийом, видача готової продукції, етикеток. </t>
  </si>
  <si>
    <t xml:space="preserve">/знання 1-С Бухгалтерія. </t>
  </si>
  <si>
    <t xml:space="preserve">/Приймає на склад, зберігає і видає зі складу торговим відділам товарно-матеріальні цінності.Перевіряє відповідність цінностей, які приймає, супровідним документам.
</t>
  </si>
  <si>
    <t xml:space="preserve">/Виконання обовязків оператора по переміщенню грузів. Місце проведення роботи смт.Локачі Нова пошта.
</t>
  </si>
  <si>
    <t xml:space="preserve">обслуговування підстанції торгового центру, допуск до 10 тис.В, якщо не профільна вища освіта розряд не нижче 5.  </t>
  </si>
  <si>
    <t xml:space="preserve">/Організація приймання, сушіння,зберігання, очистка та відвантаження зерна. Забезпечення високої ефективності роботи змін з виконанням вимог ТБ. Забезпечення ефективної експлуатації технологічного обладнання.Контроль і керування роботою газової зерносушарки./
</t>
  </si>
  <si>
    <t xml:space="preserve">/Організовує виконання будівельно-монтажних робіт згідно з проектною та технологічною документацією, будівельними нормами та правилами, технічними умовами й іншими нормативними документами.Здійснює  заходи щодо удосконалення організації виробництва та праці, механізації й автоматизації виробничих процесів, раціоналізації робочих міць.Веде журнал виконання робіт , документацію з обліку виконаних  робіт і робочого часу, виконавчу 
</t>
  </si>
  <si>
    <t xml:space="preserve">/Здійснює безпосереднє керівництво  будівництвом, забезпечує виконання виробничих завдань, організовує виконання будівельно- монтажних робіт згідно з проектною документацією. складає заявки, веде журнал виконаних робіт.
</t>
  </si>
  <si>
    <t xml:space="preserve">25.03.2020, 14:25 "Тимчасово припинено набір персоналу на період карантину".
Розробляє і вдосконалює навчально-корекційні програми. Здійснює навчальну, корекційну, компенсаційну, реабілітаційну роботу з дітьми, які мають мовленнєві порушення.  Вивчає та фіксує динаміку розвитку дітей.
</t>
  </si>
  <si>
    <t xml:space="preserve">Здійснює щоденний медичний огляд дітей.   Контролює якість харчування у дитячому закладі. Проводить роз"яснювальну роботу серед дітей, працівників та батьків. Застосовує  при потребі лікарські засоби . Складає добові меню .
</t>
  </si>
  <si>
    <t xml:space="preserve">Бере участь у лікувально-діагностичному процесі. Виконує лікарські призначення. Проводить маніпуляції та процедури згідно з профілем роботи. Готує хворих до обстеження. Виконує забір, зберігання, доставку матеріалу для лабораторних досліджень. Забезпечує медичний догляд за хворими. 
</t>
  </si>
  <si>
    <t xml:space="preserve">Знання митного законодавства. Оформлення вантажів в режимах експорту, імпорту, транзиту.
</t>
  </si>
  <si>
    <t xml:space="preserve">/ Ведення первинного бухгалтерського документообігу. Робота в 1С 8 Громадське харчування для України.
Місце проведення робіт - смт. Олевськ Житомирської області
</t>
  </si>
  <si>
    <t xml:space="preserve">/ Ведення первинного бухгалтерського документообігу. Робота в 1С 8 Громадське харчування для України.
Місце проведення робіт - м. Камінь-Каширський
</t>
  </si>
  <si>
    <t>/ Ведення первинного бухгалтерського документообігу. Робота в 1С 8 Громадське харчування для України.
Місце проведення робіт - м. Сарни Рівненської області
0 (3376) 22838 - Дарина Андріївн</t>
  </si>
  <si>
    <t xml:space="preserve">/ Ведення первинного бухгалтерського документообігу. Робота в 1С 8 Громадське харчування для України.
Місце проведення робіт - смт. Любешів
</t>
  </si>
  <si>
    <t xml:space="preserve">/ Ведення первинного бухгалтерського документообігу. Робота в 1С 8 Громадське харчування для України.
Місце проведення робіт - м. Дубровиця Рівненської області
</t>
  </si>
  <si>
    <t xml:space="preserve">/ Ведення первинного бухгалтерського документообігу. Робота в 1С 8 Громадське харчування для України.
Місце проведення робіт - смт. Зарічне Рівненської області
</t>
  </si>
  <si>
    <t xml:space="preserve">Миття посуду,дотримання приміщення кухні в належному санітарному стані,робота з миючими засобами, наявність санітарної книжки та попереднього медичного огляду.Місце проведення робіт с. Війниця бар "Перехрестя".
</t>
  </si>
  <si>
    <t xml:space="preserve">Охорона об'єктів на території підприємства/
</t>
  </si>
  <si>
    <t xml:space="preserve"> проводить роботи по благоустрою міста (ремонт зупинок, лавок інших об'єктів), очищення зливових каналізацій, встановлення знаків і ін. </t>
  </si>
  <si>
    <t xml:space="preserve"> проводить роботи по благоустрою міста (ремонт зупинок, лавок інших об'єктів), очищення зливових каналізацій, встановлення знаків і ін.</t>
  </si>
  <si>
    <t xml:space="preserve">/ прибирання вулиць селища,
</t>
  </si>
  <si>
    <t>/ прибирання прибудинкових територій</t>
  </si>
  <si>
    <t xml:space="preserve">прибирання території міста, побілка бордюр, очищення тротуарів і інше. </t>
  </si>
  <si>
    <t xml:space="preserve">/Прибирання приналежних територій  комунального підприємства міста./
</t>
  </si>
  <si>
    <t xml:space="preserve">/Прибирання підїздів у будинках та прибудникових територій/
</t>
  </si>
  <si>
    <t xml:space="preserve">Забезпечує прибирання проїзджої частини прибудинкових територій 
</t>
  </si>
  <si>
    <t xml:space="preserve">/Прибирання території міста/. 
</t>
  </si>
  <si>
    <t xml:space="preserve">/ Прибирання територій селиша, які обслуговує ВУЖКГ.
</t>
  </si>
  <si>
    <t xml:space="preserve">/ Здійснювати судові виклики та повідомлення в справах в т.ч. засобами електронного зв'язку, які знаходяться у провадженні судді, забезпечення фіксування судового засідда технічними засобами, забезпечення проведення судового засідання у режимі відеоконференції, забезпеченя ведення протоколу судового засідання, забезпечення оформлення матеріалів справи, виконувати обов'язки передбачені процесуальним кодексом.
</t>
  </si>
  <si>
    <t xml:space="preserve">/Здійснювати судові виклики та повідомлення в справах в т.ч. засобами електронного зв'язку, які знаходяться у провадженні судді, забезпечення фіксування судового засідда технічними засобами, забезпечення проведення судового засідання у режимі відеоконференції, забезпеченя ведення протоколу судового засідання, забезпечення оформлення матеріалів справи, виконувати обов'язки передбачені процесуальним кодексом.
</t>
  </si>
  <si>
    <t xml:space="preserve">Огляд та лікування хворих/
</t>
  </si>
  <si>
    <t xml:space="preserve">/ Посада: лікар-анестезіолог дитячий. Обгрунтовує вибір виду анестезії. Аналізує результати лабораторних, функціональних та спеціальних методів досліджень.Здійснює кваліфіковане анестезіологічне забезпечення. Здійснює нагляд за побічними реакціями медичних препаратів.Керує роботою молодшого медичного персоналу. </t>
  </si>
  <si>
    <t xml:space="preserve">/Забезпечує складання річних планів господарської діяльності. Проводить аналіз господарської діяльності. Забезпечує підрозділи необхідним обладнанням, медичним інвентарем.. Забезпечує справний стан та текучий ремонт відділень, будинків та споруд. Організовує технічний нагляд за будівлями. Організовує опалення будівель. Складає та підписує акти, заявки, описи відомості тощо, що стосуються фінансової частини./
</t>
  </si>
  <si>
    <t xml:space="preserve">10:12
25.03.2020
Тимчасово припинено набір персоналу на час карантину.
Здійснює керівництво роботою з господарського обслуговування лікарні, стежить за станом приміщень та вживає заходів щодо їх ремонту, забезпечує контроль за справністю обладнань(ліфтів, освітлення, систем опалення, вентиляції)
</t>
  </si>
  <si>
    <t xml:space="preserve">/ Організовування культурно-освітньої роботи,  дозвіллєву діяльність серед населення. робота на неповний робочий час (0,75 ставки). с Серхів
</t>
  </si>
  <si>
    <t xml:space="preserve">/ вантажно-ровантажувальні роботи на складі. </t>
  </si>
  <si>
    <t>/ вантажно-ровантажувальні роботи на складі.</t>
  </si>
  <si>
    <t xml:space="preserve">/розвантажувально-навантажувальні роботи до 50 кг, (гуртівня "Осіріс")
</t>
  </si>
  <si>
    <t xml:space="preserve">/ виконує збір сміття з вулиць міста, навантаження його на транспортний засіб/
 </t>
  </si>
  <si>
    <t xml:space="preserve">/ виконує збір сміття з вулиць міста, навантаження його на транспортний засіб/
</t>
  </si>
  <si>
    <t xml:space="preserve"> / завантаження сировини в цеху, відвантаження готової продукції  на складі.
Графік роботи з 08.00 до 17.00год
2 дні робочі - 2 вихідні
</t>
  </si>
  <si>
    <t xml:space="preserve">/навантажувально -розвантажувальні роботи вручну будівельних, сантехнічних та інших господарчих товарів для дому, графік роботи - з 9,00 год до 18,00 год
</t>
  </si>
  <si>
    <t xml:space="preserve">/ Організація сервісу надання послуг різноманітним закладам у розрізі регіонів (навчальні та медичні). Пересувний характер роботи по об'єктах, яким забезпечується надання послуг з організації харчування.
Додаткові вимоги до працівника: досвід роботи по аналогічних обов'язках.
Місце проведення робіт - м. Дубровиця Рівненської області
</t>
  </si>
  <si>
    <t xml:space="preserve">/ Організація сервісу надання послуг різноманітним закладам у розрізі регіонів (навчальні та медичні). Пересувний характер роботи по об'єктах, яким забезпечується надання послуг з організації харчування.
Додаткові вимоги до працівника: досвід роботи по аналогічних обов'язках.
Місце проведення робіт - м. Сарни Рівненської області
</t>
  </si>
  <si>
    <t xml:space="preserve">/ Організація сервісу надання послуг різноманітним закладам у розрізі регіонів (навчальні та медичні). Пересувний характер роботи по об'єктах, яким забезпечується надання послуг з організації харчування.
Додаткові вимоги до працівника: досвід роботи по аналогічних обов'язках.
Місце проведення робіт - м. Камінь-Каширський
</t>
  </si>
  <si>
    <t xml:space="preserve">/ Організація сервісу надання послуг різноманітним закладам у розрізі регіонів (навчальні та медичні). Пересувний характер роботи по об'єктах, яким забезпечується надання послуг з організації харчування.
Додаткові вимоги до працівника: досвід роботи по аналогічних обов'язках.
Місце проведення робіт - смт. Любешів
</t>
  </si>
  <si>
    <t xml:space="preserve">/ Організація сервісу надання послуг різноманітним закладам у розрізі регіонів (навчальні та медичні). Пересувний характер роботи по об'єктах, яким забезпечується надання послуг з організації харчування.
Додаткові вимоги до працівника: досвід роботи по аналогічних обов'язках.
Місце проведення робіт - смт. Зарічне Рівненської області
</t>
  </si>
  <si>
    <t xml:space="preserve">/ Організація сервісу надання послуг різноманітним закладам у розрізі регіонів (навчальні та медичні). Пересувний характер роботи по об'єктах, яким забезпечується надання послуг з організації харчування.
Додаткові вимоги до працівника: досвід роботи по аналогічних обов'язках.
Місце проведення робіт - смт. Олевськ Житомирської області
</t>
  </si>
  <si>
    <t xml:space="preserve">/ Організація сервісу надання послуг різноманітним закладам у розрізі регіонів (навчальні та медичні). Пересувний характер роботи по об'єктах, яким забезпечується надання послуг з організації харчування.
Додаткові вимоги до працівника: досвід роботи по аналогічних обов'язках.
Місце проведення робіт - смт. Маневичі
</t>
  </si>
  <si>
    <t xml:space="preserve"> / Забезпечує раннє виявлення, кваліфіковане і своєчасне обстеження та спеціалізоване лікування при онкозахворюваннях чи підозрі на них.Проводить на належному рівні експертизи тимчасової втрати працездатності і своєчасне направлення хворих на МСЕК.
графік роботи: з 08.00 до 17.00 год
</t>
  </si>
  <si>
    <t xml:space="preserve"> / проводить діагностику внутрішніх захворювань дихальних шляхів людини
Графік роботи з 08.00 др 17.00 год
</t>
  </si>
  <si>
    <t xml:space="preserve">/ Надання якісної медичної та фармацевтичної допомоги населенню, диспансеризація хворих офтальмологічного профілю та ведення медичної документації, проведення санітарно-освітньої роботи. Необхідність інтернатури за фахом "Офтальмологія". Вадим Федорович, (03368)21161
</t>
  </si>
  <si>
    <t xml:space="preserve">Проводить кваліфіковане рентгенологічне обстеження. Здійснює інтервенційні лікувально-діагностичні втручання під контролем рентгеноскопії (за наявності умов). Впроваджує в практику нові високоефективні методи досліджень, в тому числі спеціальні (комп'ютери, томографія, ангіографія, інтраопераційна рентгенографія тощо). Контролює реєстрацію та облік обстежених. 
Графік роботи: з 08.00 до 17.00 год
</t>
  </si>
  <si>
    <t xml:space="preserve">/ведення змішаного прийому, складання плана лікування, заповнення медичної та звітної документації.Постійно відвідувати різної форми та локації навчальні заходи./
</t>
  </si>
  <si>
    <t xml:space="preserve">25.03.2020, 11:00 "Тимчасово припинено набір персоналу на період карантину".
Надає невідкладну стоматологічну допомогу при гострих запальних процесах, травматичних пошкодженнях, кровотечах та ін. у шкільному закладі.
</t>
  </si>
  <si>
    <t xml:space="preserve">Діагностика ти лікування травматологічних хворих
</t>
  </si>
  <si>
    <t xml:space="preserve"> / Прийом хворих, надання кваліфікованої спеціалізованої допомоги, визначення обсягу лабораторних досліджень.
Графік роботи з 08.00 до 17.00 год
</t>
  </si>
  <si>
    <t xml:space="preserve"> / Визначає доцільність застосування фізіотерапевтичних методів при різних захворюваннях. Обирає оптимальний фізіотерапевтичний комплекс. Надає швидку та невідкладну медичну допомогу. Проводить консультації за направленням лікарів інших спеціальностей. Планує роботу та проводить аналіз.
Графік роботи: з 08.00 до 17.00 год.
</t>
  </si>
  <si>
    <t xml:space="preserve">/забезпечення виконання будівельно-монтажних робіт на об'єктах. </t>
  </si>
  <si>
    <t xml:space="preserve">/Формувати в учнів професійні знання за професією тракторист-машиніст , уміння і навички відповідно до вимог кваліфікаційної характеристики за професією, навчати учнів раціональним прийомам виконання навчально-виробничих робіт і завдань, наукової організації праці, застосуванню прогресивних технологій.Складати документацію з планування виробничого навчання, підбирати навчально-виробничі роботи відповідно до затвердженого переліку./
</t>
  </si>
  <si>
    <t xml:space="preserve">/Формувати в учнів професійні знання за професією електрогазозварник, уміння і навички відповідно до вимог кваліфікаційної характеристики за професією, навчати учнів раціональним прийомам виконання навчально-виробничих робіт і завдань, наукової організації праці, застосуванню прогресивних технологій.Складати документацію з планування виробничого навчання, підбирати навчально-виробничі роботи відповідно до затвердженого переліку./
</t>
  </si>
  <si>
    <t xml:space="preserve">/Проводити практичні заняття для учнів за професією "маляр-штукатур" відповідно до навчальних планів і планів виробничого навчання. Безпосередньо відповідати за якість виробничого навчання. Формувати в учнів професійні знання, вміння, навички відповідно до вимог кваліфікаційних характеристик./
</t>
  </si>
  <si>
    <t xml:space="preserve">/Проводити практичні заняття для учнів за професією "маляр-штукатур" відповідно до навчальних планів і планів виробничого навчання. Безпосередньо відповідати за якість виробничого навчання. Формувати в учнів професійні знання, вміння, навички відповідно до вимог кваліфікаційних характеристик./
 </t>
  </si>
  <si>
    <t xml:space="preserve">/ проведення уроків виробничого навчання з професії  "лицювальник-плиточник"
</t>
  </si>
  <si>
    <t xml:space="preserve">/Організовує підготовку виробництва, забезпечує розміщення робітників. Контролює дотримання технологічних процесів./
</t>
  </si>
  <si>
    <t xml:space="preserve">/Визначення предмету дослідження і розроблення робочих планів і програм проведення окремих етапів дослідницьких робіт.Приймати участь в складанні асортиментного плану, розробляти пропозиції по організації роботи з новими постачальниками. Менеджмент операційної діяльності, розробка та впровадження внутрішніх положень організації з питань операційного управління, координувати роботу працівників/
</t>
  </si>
  <si>
    <t>/соціальна робота, обов'язкова вимога: професійна кваліфікація-психолог</t>
  </si>
  <si>
    <t xml:space="preserve">
Оцінює потреби сімей (осіб), які перебувають у складних життєвих обставинах. Визначає перелік необхідних соціальних послуг, форми та методи соціальної роботи.
</t>
  </si>
  <si>
    <t xml:space="preserve">
/Завідувач фельдшерським пунктом , організація та надання медичної допомоги дорослому та дитячому населенню, села Кисилин, Журавець.
</t>
  </si>
  <si>
    <t xml:space="preserve">/Проводить лабораторні дослідження, аналіз та діагностику їх результатів.Готує необхідні матеріали, апаратуру та інструментарій для роботи.Забезпечує санітарно-протиепідемічний режим в лабораторії.
Передбачена доплата за атестаційну категорію, за вислугу років та оздоровлення. /
Графік роботи з 8.00 до 15.52
</t>
  </si>
  <si>
    <t xml:space="preserve">/Проводить лабораторні дослідження, аналіз та діагностику їх результатів.Готує необхідні матеріали, апаратуру та інструментарій для роботи.Забезпечує санітарно-протиепідемічний режим в лабораторії./
Передбачена доплата за атестаційну категорію, за вислугу років та оздоровлення. 
Графік роботи з 8.00 до 15.52
</t>
  </si>
  <si>
    <t xml:space="preserve">/Здійснює монтаж та демонтаж шин  різних автомобілів за допомогою спеціальних пристосувань/
</t>
  </si>
  <si>
    <t xml:space="preserve">/ Ведення кадрового обліку та документообігу. Робота в 1С 8 "Зарплата і управління персоналом"
Місце проведення робіт - смт. Маневичі
</t>
  </si>
  <si>
    <t xml:space="preserve">/консультує, оформляє заявку на кредит. </t>
  </si>
  <si>
    <t xml:space="preserve">Виконання ветеринарних заходів, щодо профілактики, діагностики, лікування та ліквідації інфекційних, інвазивних, незаразних захворювань тварин
</t>
  </si>
  <si>
    <t>Стежить за своєчасним внесенням до проектно-кошторисної документації необхідних змін, що пов’язані з впровадженням нових нормативів, цін, прейскурантів, каталогів, збірників одиничних розцінок тощо. Бере участь у підготовці проектно-кошторисної документації. Готує необхідну інформацію щодо проектно-кошторисної документації/</t>
  </si>
  <si>
    <t xml:space="preserve">Формування й розширення бази клієнтів за кордоном, ведення переговорів, ділової переписки і укладання угод з іноземними партнерами,контроль і супровід поставок на всіх етапах- від розміщення до одержання замовлення,контроль своєчасної сплати експортних і імпорних платежів,оформлення необхідної супутньої документації (графіки поставок,сертифікати,дозволи,ліцензії). Знання естонської мови,володіння комп'ютерними технологіями.
</t>
  </si>
  <si>
    <t xml:space="preserve">ведення кадрової роботи; успішне закриття в стислі терміни вакансій масового підбору; ведення бази даних; пошук та пропозиції щодо нових джерел пошуку персоналу; формування та обгрунтування бюджету на дані витрати; залучення до пошуку кандидатів середньої ланки; вміння користуватись сайтами з пошуку роботи; реєстрація в соціальних мережах; робота в профільних групах з пошуку роботи. 
</t>
  </si>
  <si>
    <t xml:space="preserve">Пошук, підбір, адаптація персоналу,формування кадрової політики та корпоративної культури, вивчення ринку праці з метою визначення усіх джерел для забезпечення підприємства персоналу, контроль виконання планів розвитку персоналу,ведення кадрового діловодства, участь у плануванні ,соціального розвитку.
</t>
  </si>
  <si>
    <t xml:space="preserve">/Організація роботи із забезпечення персоналом відповідно до загальних цілей розвитку автотранспортного підприємства та конкретних напрямків кадрової політики з метою найефективнішого використання , оновлення та поповнення персоналу. Робота з організації персоналу, підготовка та підвищення кваліфікації, а також мотивації ділової кар‘єри працівників,/
</t>
  </si>
  <si>
    <t xml:space="preserve">/проведення закупівель для ЦРЛ/
</t>
  </si>
  <si>
    <t xml:space="preserve">/Діагностування і усунення виявлених при цьому недоліків в машинах та устаткуванні. Налагодження роботи пунктів технічного обслуговування машинно-тракторного парку. Забезпечення та контроль документального оформлення витрат запасних частин, матеріалів та інструменту. Контроль додержання технологічних процесів діагностики, технічного обслуговування та ремонту машинно-тракторного парку.
</t>
  </si>
  <si>
    <t xml:space="preserve">/Керувати трактором по вивезенню сміття з вулиць міста/
</t>
  </si>
  <si>
    <t xml:space="preserve">Вивезення сміття
</t>
  </si>
  <si>
    <t xml:space="preserve">/Наявність посвідчення.Робота на тракторі ЮМЗ-6. Вивезення сміття.
</t>
  </si>
  <si>
    <t xml:space="preserve">/завантаження і розвантаження вантажів та матеріалів. </t>
  </si>
  <si>
    <t xml:space="preserve">/виконувати сільськогосподарські роботи на колісних тракторах та сільськогосподарських машинах, ефективно організувати працю на робочому місці/
</t>
  </si>
  <si>
    <t xml:space="preserve">/Виконання механізованих сільськогосподарських робіт. Проведення робіт в смт.Локачі. 
</t>
  </si>
  <si>
    <t xml:space="preserve">  /Уміння самостійно виконувати сільськогосподарські і меліоративні роботи на тракторах. Виконувати транспортні роботи на тракторах з додержанням правил дорожнього руху та правил перевезення вантажів. Виконувати щозмінне технічне обслуговування тракторів.
</t>
  </si>
  <si>
    <t xml:space="preserve">/керування тракторами типу К -700, Джон Дір, перевезення сільськогосподарських вантажів, виконання сільськогосподарських робіт/
</t>
  </si>
  <si>
    <t xml:space="preserve">/Керує автогрейдером під час планувальних і профілювальних робіт у ході будівництва доріг, інших лінійних та площинних об'єктів/
</t>
  </si>
  <si>
    <t xml:space="preserve">керує автогрейдером; виконання робіт у м. Луцьку та Луцькому районі; обслуговування та поточний ремонт механізмів; 
робота - м. Луцьк вул. Вахтангова, 10-в
</t>
  </si>
  <si>
    <t>/Машиніст тепловозу виконує роботу по прийманню і здачі тепловоза напочатку і вкінці зміни, веденню поїзда, виконанню маневрової роботи, службового ремонту та підготовці тепловоза до комісійного огляду</t>
  </si>
  <si>
    <t xml:space="preserve">/торгівля побутовою хімію та косметикою. Робочий графік: 3 дня працюєте 3 дня вихідний, Пн-Пт з 8:00 до 20:00. Сб з 9:00 до 20:00. Нд з 9:00 до 16:00. </t>
  </si>
  <si>
    <t xml:space="preserve">/продаж сантехніки  та консультація клієнтів . Оформлення замовлень. Слідкування за складом. Робочий день: згідно графіку, пн-пт з 9.00 до 18.00, сб-нд 9.00-15.00. 
</t>
  </si>
  <si>
    <t xml:space="preserve">/ продаж мобільних телефонів,  консультування покупців , володіти інформацією щодо  марок різних телефонів, ввічливо обслуговувати клієнтів. </t>
  </si>
  <si>
    <t xml:space="preserve"> /Готує товар до продажу, розпаковує, розглядає зовнішній вигляд виробу, комплектує. Розміщує та викладає товари за групами, видами, сортами з урахуванням товарного сусідства, частоти попиту та зручності роботи. Заповнює та прикріплює ярлики, цінники.
місце роботи: смт.Локачі, торговий центр "АВС".
</t>
  </si>
  <si>
    <t xml:space="preserve">Консультація та залучення клієнтів, підготовка документів на оформлення кредитів, обслуговування кредитного портфеля. З\П - олад + бонуси.
готові прийняти на роботу з 27.07.2020р. 
</t>
  </si>
  <si>
    <t>/утримання колії в належному стані.</t>
  </si>
  <si>
    <t xml:space="preserve">Виконує найпростіші  роботи під час ремонту верхньої будови колій, стрілочних переводів, штучних споруд.
</t>
  </si>
  <si>
    <t xml:space="preserve">
Виконує найпростіші роботи під час  ремонту верхньої будови колій, стрілочних переводів, штучних споруд.
</t>
  </si>
  <si>
    <t xml:space="preserve">Поточне утримання колії, заміна елементів та конструкцій колійного господарства, знищення небажаної рослинності в межах залізниці. </t>
  </si>
  <si>
    <t>Поточне утримання колії, заміна елементів та конструкцій колійного господарства, знищення небажаної рослинності в межах залізниці.</t>
  </si>
  <si>
    <t>виконує ручне, дугове, плазмове, газове зварювання, автоматичне і напівавтоматичне зварювання простих деталей і конструкцій.</t>
  </si>
  <si>
    <t xml:space="preserve">/електрогазозварювальні роботи з металоконструкціями. </t>
  </si>
  <si>
    <t>/електрогазозварювальні роботи з металоконструкціями.</t>
  </si>
  <si>
    <t xml:space="preserve">Виконує ручне, дугове та газове зварювання складних і відповідальних апаратів, деталей, вузлів, конструкцій та трубопроводів з різних сталей. 
</t>
  </si>
  <si>
    <t xml:space="preserve">Здійснювати зварювальні роботи з дотриманням правил техніки безпеки.
</t>
  </si>
  <si>
    <t xml:space="preserve">  /Обслуговування та ремонт рухомого складу. Зварювальні ремонтні роботи ,Ручне дугове,газове зварювання складних та відповідальних апаратів, деталей ,вузлів,конструкцій,кисневе різання металів/
</t>
  </si>
  <si>
    <t xml:space="preserve">Виконання зварювальних робіт на виробництві, проведення ремонту технологічного обладнання з дотримання правил техніки безпеки.
</t>
  </si>
  <si>
    <t xml:space="preserve">/Проведення зварювальних робіт на виробництві церковного начиння. Повинен володіти зосередженою увагою, просторовою уявою і мисленням, бути акуратним і врівноваженим, раціонально і ефективно використовувати час, додержуватись норм технологічного процесу, не допускати браку в роботі, знати і виконувати вимоги нормативних актів про охорону праці, додержуватись норм і методів безпечного ведення робіт. Місце проведення робіт с.Озерце Ківерцівського району. </t>
  </si>
  <si>
    <t xml:space="preserve"> / пакує цукерки на пакувальному автоматі, встановлює плівку  на автоматі, контролює пакування цукерок.
Графік  роботи: з 08.00  до 20.00год 
2 дні робочі - 2 вихідні
</t>
  </si>
  <si>
    <t xml:space="preserve">/Займається програмуванням,виконує розробку програмного забезпечення для програмних пристроїв.Займається налагодженням та підтримкою роботи комп'ютерної техніки./
</t>
  </si>
  <si>
    <t xml:space="preserve">/Здійснення керівництва окремим підрозділом/
Конкурс відбудеться 15.08.2020 об 11.00 в приміщенні офісу.
</t>
  </si>
  <si>
    <t xml:space="preserve"> робота з меблями,  дизайнер- технолог на корпусні меблі
 (заробітна плата може сягати від 7000 до 10000 грн.)
</t>
  </si>
  <si>
    <t xml:space="preserve">телефонна розмова 12:05 год. від 25.03.2020 р. "тимчасово припинено набір персоналу на час карантину". /начальник відділу якості, сертифікації та стандартизації. організація виробничого контролю та контролю якості готової продукції, розробляє якості щодо підвищення якості продукції.впроваджує на підприємстві системи якості IScc.ISO. HACCP керує проведенням заходів щодо підвищення якості продукції/
</t>
  </si>
  <si>
    <t xml:space="preserve">/Обслуговування та ремонт електромережі. Дотримання безпечних умов праці./
</t>
  </si>
  <si>
    <t>заробітна плата сягає від 7000,00 до 12000,00 грн, виконувати зварювальні роботи, підприємство займається виготовленням  металопрофілю ,каркасів, дотримання правил техніки безпеки (робота в с.Липини)</t>
  </si>
  <si>
    <t xml:space="preserve">/ розвантаження порожньої тари, ведення її обліку і здача звітності. </t>
  </si>
  <si>
    <t xml:space="preserve">/ Контроль за додержанням правильного виконання технологічного процесу під час лісозаготівель. Контроль за своєчасною ізоляцією знайденого браку лісопродукції. Перевірка лісопродукції на предмет відповідності технічним умовам та стандартам якості. Облік, систематизація та аналіз дефектів, які виявлені під час технічного приймання лісопродукції. Визначення причин та розмірів браку. Здійснює контроль завантажувально - розвантажувальних робіт.
</t>
  </si>
  <si>
    <t xml:space="preserve">/Молодший інспектор відділу охорони. Забезпечення охорони установи, контроль за дотриманням засудженими розпорядку дня установи та вимог Кримінально-виконавчого законодавства. Налагодження системи охорони.  Місце проведення робіт с.Цумань, Ківерцівський район. Контактний </t>
  </si>
  <si>
    <t>/Молодший інспектор відділу охорони. Забезпечення охорони установи, контроль за дотриманням засудженими розпорядку дня установи та вимог Кримінально-виконавчого законодавства. Налагодження системи охорони.</t>
  </si>
  <si>
    <t xml:space="preserve">/Молодший інспектор відділу охорони. Забезпечення охорони установи, контроль за дотриманням засудженими розпорядку дня установи та вимог Кримінально-виконавчого законодавства. Налагодження системи охорони. </t>
  </si>
  <si>
    <t xml:space="preserve">Організовує доставку товару, розробляє вигідну схему поставок. Аналізує ринок транспортних послуг,проводить розрахунки, шукає надійних партнерів, координує дії, готує документи.                                   
</t>
  </si>
  <si>
    <t xml:space="preserve">
Організовує доставку товару та його складування, розробляє вигідну схему поставок. Аналізує ринок транспортних послуг,проводить розрахунки, шукає надійних партнерів, координує дії, готує документи.
</t>
  </si>
  <si>
    <t xml:space="preserve">/Організовує доставку товару та його складування, розробляє вигідну схему поставок. Аналізує ринок транспортних послуг,проводить розрахунки, шукає надійних партнерів, координує дії, готує документи./
</t>
  </si>
  <si>
    <t>обов'язкове знання англійської і німецької мови, організація вантажних перевезень , пошук завантажень для вантажного транспорту. Контроль руху автомобілів, укладання договорів, ведення документообігу, високий рівень комунікабельності</t>
  </si>
  <si>
    <t xml:space="preserve">/ Організація заходів для ефективного проведення робіт в садівничому товаристві.
</t>
  </si>
  <si>
    <t xml:space="preserve">/Працювати на посаді молодшого інспектора відділу нагляду і безпеки. Забезпечення охорони установи, контроль за дотриманням засудженими розпорядку дня установи та вимог Кримінально-виконавчого законодавства, налагодження системи охорони. </t>
  </si>
  <si>
    <t>/Працювати на посаді молодшого інспектора відділу нагляду і безпеки. Забезпечення охорони установи, контроль за дотриманням засудженими розпорядку дня установи та вимог Кримінально-виконавчого законодавства, налагодження системи охорони.</t>
  </si>
  <si>
    <t xml:space="preserve">/Працювати на посаді молодший інспектор-технік. Забезпечення охорони установи, контроль за дотриманням засудженими розпорядку дня установи та вимог Кримінально-виконавчого законодавства, налагодження системи охорони. </t>
  </si>
  <si>
    <t xml:space="preserve">аналіз ринку, розробка та реалізація маркетингових інструментів для просування продуктів ROSA, проведення акцій, володіння англійською мовою не нижче середнього рівня.
</t>
  </si>
  <si>
    <t xml:space="preserve">/ продакт-менеджер, дослідження ринку, робота з існуючим продуктом (зміни, редизайн, доопрацювання), підготовка та проведення презентацій, володіння англійською мовою не нижче середнього рівня.
</t>
  </si>
  <si>
    <t>/Робота з документами зовнішньоекономічної діяльності.</t>
  </si>
  <si>
    <t xml:space="preserve">/торгівля нафтопродуктами, налагодження зв'язків з потенційними покупцями/
Конкурс відбудеться 15.08.2020 року об 11.00 в приміщенні офісу.
</t>
  </si>
  <si>
    <t xml:space="preserve">Перегляд, аналіз та робота з тематичними сайтами, надання інформаційних та консультаційних послуг клієнтам, формування клієнтської бази.
</t>
  </si>
  <si>
    <t xml:space="preserve">     Освітня діяльність з дітьми дошкільного віку з особливими освітніми потребами.
</t>
  </si>
  <si>
    <t xml:space="preserve">/догляд за лісовими культурами ,облік та контроль по Вовчецькому лісництву
</t>
  </si>
  <si>
    <t xml:space="preserve">/ здійснення контролю за правильністю лісокористування, охороною і захистом лісу  на закріплених лісогосподарських ділянках
</t>
  </si>
  <si>
    <t>забезпечення публічного порядку і громадської безпеки; запобігання кримінальним, адміністративним правопорушенням; для того щоб відправити електронну заяву на участь у конкурсі до Патрульної поліції</t>
  </si>
  <si>
    <t>забезпечення публічного порядку і громадської безпеки; запобігання кримінальним, адміністративним правопорушенням; для того щоб відправити електронну заяву на участь у конкурсі до Патрульної поліції,</t>
  </si>
  <si>
    <t xml:space="preserve">/проводити консультації з англійської мови, вміння спілкуватись з дітьми. погодинна оплата праці Можливі виїзди з дитячими групами в табори./
</t>
  </si>
  <si>
    <t xml:space="preserve">/Знання англійської та польської мови. Згідно попиту надавати консультації з англійської та польської мови як індивідуально так і на велику кількість дітей. Проводиться вивчення методики прикладної освіти за рахунок ГО " Консультативний центр діалог". / Оплата праці погодинно
</t>
  </si>
  <si>
    <t xml:space="preserve">/проводити консультації з математики, вміння спілкуватись з дітьми. погодинна оплата праці Можливі виїзди з дитячими групами в табори./
</t>
  </si>
  <si>
    <t xml:space="preserve">/проводити консультації з німецькоїї мови, вміння спілкуватись з дітьми. погодинна оплата праці Можливі виїзди з дитячими групами в табори./
</t>
  </si>
  <si>
    <t xml:space="preserve">/проводити консультації з польської мови, вміння спілкуватись з дітьми. погодинна оплата праці Можливі виїзди з дитячими групами в табори./
</t>
  </si>
  <si>
    <t xml:space="preserve">     Надання консультацій по освіті, навчання навичкам спілкування, консультації з підвищення професійної кваліфікації.
</t>
  </si>
  <si>
    <t xml:space="preserve">викладання ритміки у початкових класах 0,5 ставки та проведення навчання 0,5 ставки. </t>
  </si>
  <si>
    <t xml:space="preserve">викладання фізики та математики в старших класах. </t>
  </si>
  <si>
    <t xml:space="preserve">/Мати кваліфікацію вчителя з трудового навчання, вміти організовувати велику кількість дітей.проводиться вивчення методики прикладної освіти за рахунок ГО " Консультативний центр діалог". /
</t>
  </si>
  <si>
    <t xml:space="preserve">/Працювати на посаді вчителя хімії (на час декретної відпустки основного працівника)
Здійснює навчання і виховання учнів із урахуванням спе­цифіки навчального предмета, проводить уроки й інші навчальні заняття в закріплених за ним класах згідно з розподілом навчально­го навантаження, забезпечує під час занять належний порядок і дис­ципліну.
</t>
  </si>
  <si>
    <t xml:space="preserve">/Працювати на посаді вчителя образотворчого мистецтва (на час декретної відпустки основного працівника)
Здійснює навчання і виховання учнів із урахуванням спе­цифіки навчального предмета, проводить уроки й інші навчальні заняття в закріплених за ним класах згідно з розподілом навчально­го навантаження, забезпечує під час занять належний порядок і дис­ципліну.
</t>
  </si>
  <si>
    <t xml:space="preserve">/Працювати на посаді вчителя української мови та літератури. 
Здійснює навчання і виховання учнів із урахуванням спе­цифіки навчального предмета, проводить уроки й інші навчальні заняття в закріплених за ним класах згідно з розподілом навчально­го навантаження, забезпечує під час занять належний порядок і дис­ципліну.
</t>
  </si>
  <si>
    <t xml:space="preserve">Забезпечення навчально-виховного процесу в ЗОШ  І-ІІ ст. с. Мовники. Проводити на належному  рівні навчання учнів відповідно до програм та методик з фізики,використовуючи ефективні прийоми, методи і засоби навчання.Визначити завдання і зміст занять з урахуванням,підготовленості, індивідуальних, психофізичних особливостей  учнів.Забезпечувати повну безпеку учнів, виконання вимог техніки безпеки під час проведення уроків та лабораторних робіт з фізики.
</t>
  </si>
  <si>
    <t xml:space="preserve">Забезпечення навчально-виховного процесу в ЗОШ  І-ІІ ст. с. Мовники.Проводити на належному методичному і науковому рівні навчання учнів відповідно до програм та методик з хімії, використовуючи ефективні прийоми, методи і засоби навчання.Забезпечувати повну безпеку учнів, виконання вимог техніки безпеки під час проведення уроків та лабораторних робіт з хімії.                                
</t>
  </si>
  <si>
    <t xml:space="preserve">Забезпечення навчально-виховного процесу в ЗОШ  І-ІІ ст. с. Мовники. Проводити на належному методичному і науковому рівні навчання учнів відповідно до програм та методик з історії, використовуючи ефективні прийоми, методи і засоби навчання. Забезпечувати повну безпеку учнів, виконання вимог техніки безпеки під час проведення уроків.
</t>
  </si>
  <si>
    <t xml:space="preserve">/ викладання фізики в старших класах середньої школи, на 0,5 ставки
</t>
  </si>
  <si>
    <t xml:space="preserve">/ викладання інформатики в старших класах середньої школи, на 0,5 ставки
</t>
  </si>
  <si>
    <t xml:space="preserve">/ викладання математики в старших класах середньої школи,
</t>
  </si>
  <si>
    <t xml:space="preserve">/ викладання предмету географії в старших класах середньої школи згідно шкільних програм, на 0,5 ставки
</t>
  </si>
  <si>
    <t xml:space="preserve">/проедення публічних закупівель, складання звіту про договір, про закупівлю/
</t>
  </si>
  <si>
    <t xml:space="preserve"> / Охорона, нагляд за засудженими чоловічої статі відповідно до службових обов"язків
</t>
  </si>
  <si>
    <t>(0242) 2 05 26 Ірина Ігорівна</t>
  </si>
  <si>
    <t>(0279) 2 13 01 Тетяна Василівна</t>
  </si>
  <si>
    <t>(0272) 2 16 42 Оксана Степанівна</t>
  </si>
  <si>
    <t xml:space="preserve">(0252) 5 03 16 Інна Олександрівна;                     </t>
  </si>
  <si>
    <t>(0274) 2 21 51 Тетяна Олексіївна</t>
  </si>
  <si>
    <t>(0332) 71 95 06 Любов Володимирівна</t>
  </si>
  <si>
    <t>098 456 73 11 Наталя Анатоліївна</t>
  </si>
  <si>
    <t>(0262) 2 25 41 Наталя Федорівна</t>
  </si>
  <si>
    <t>(0277) 2 38 42 Леся Михайлівна</t>
  </si>
  <si>
    <t>(0276) 2 14 60 Олена Іванівна</t>
  </si>
  <si>
    <t>(0244) 3 21 15 Наталя Сергіївна</t>
  </si>
  <si>
    <t>(0268) 2 14 13 Ярослав Іванович</t>
  </si>
  <si>
    <t>Завдання та обов'язки</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</si>
</sst>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numFmts>
  <fonts count="41">
    <font>
      <sz val="10"/>
      <name val="Arial"/>
      <family val="0"/>
    </font>
    <font>
      <b/>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color indexed="9"/>
      <name val="Arial"/>
      <family val="0"/>
    </font>
    <font>
      <u val="single"/>
      <sz val="10"/>
      <color indexed="12"/>
      <name val="Arial"/>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mbria"/>
      <family val="2"/>
    </font>
    <font>
      <sz val="18"/>
      <color indexed="54"/>
      <name val="Calibri Light"/>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0"/>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5" fillId="38" borderId="0" applyNumberFormat="0" applyBorder="0" applyAlignment="0" applyProtection="0"/>
    <xf numFmtId="0" fontId="26" fillId="39" borderId="1" applyNumberFormat="0" applyAlignment="0" applyProtection="0"/>
    <xf numFmtId="0" fontId="4" fillId="40" borderId="2" applyNumberFormat="0" applyAlignment="0" applyProtection="0"/>
    <xf numFmtId="0" fontId="27" fillId="0" borderId="0" applyNumberFormat="0" applyFill="0" applyBorder="0" applyAlignment="0" applyProtection="0"/>
    <xf numFmtId="188" fontId="0" fillId="0" borderId="0" applyFont="0" applyFill="0" applyBorder="0" applyProtection="0">
      <alignment horizontal="center" vertical="center"/>
    </xf>
    <xf numFmtId="49" fontId="0" fillId="0" borderId="0" applyFont="0" applyFill="0" applyBorder="0" applyProtection="0">
      <alignment horizontal="left" vertical="center" wrapText="1"/>
    </xf>
    <xf numFmtId="49" fontId="1" fillId="0" borderId="3" applyFill="0" applyProtection="0">
      <alignment horizontal="center" vertical="center" wrapText="1"/>
    </xf>
    <xf numFmtId="49" fontId="0" fillId="0" borderId="0" applyFont="0" applyFill="0" applyBorder="0" applyProtection="0">
      <alignment horizontal="left" vertical="center" wrapText="1"/>
    </xf>
    <xf numFmtId="0" fontId="28" fillId="41"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42" borderId="1" applyNumberFormat="0" applyAlignment="0" applyProtection="0"/>
    <xf numFmtId="0" fontId="33" fillId="0" borderId="7" applyNumberFormat="0" applyFill="0" applyAlignment="0" applyProtection="0"/>
    <xf numFmtId="0" fontId="34" fillId="43" borderId="0" applyNumberFormat="0" applyBorder="0" applyAlignment="0" applyProtection="0"/>
    <xf numFmtId="0" fontId="0" fillId="44" borderId="8" applyNumberFormat="0" applyFont="0" applyAlignment="0" applyProtection="0"/>
    <xf numFmtId="0" fontId="35" fillId="39" borderId="9" applyNumberFormat="0" applyAlignment="0" applyProtection="0"/>
    <xf numFmtId="0" fontId="36" fillId="0" borderId="0" applyNumberFormat="0" applyFill="0" applyBorder="0" applyAlignment="0" applyProtection="0"/>
    <xf numFmtId="0" fontId="5" fillId="0" borderId="10" applyNumberFormat="0" applyFill="0" applyAlignment="0" applyProtection="0"/>
    <xf numFmtId="0" fontId="8" fillId="0" borderId="0" applyNumberFormat="0" applyFill="0" applyBorder="0" applyProtection="0">
      <alignment/>
    </xf>
    <xf numFmtId="4" fontId="0" fillId="0" borderId="0" applyFont="0" applyFill="0" applyBorder="0" applyProtection="0">
      <alignment horizontal="right"/>
    </xf>
    <xf numFmtId="49" fontId="0" fillId="0" borderId="0" applyFont="0" applyFill="0" applyBorder="0" applyProtection="0">
      <alignment wrapText="1"/>
    </xf>
    <xf numFmtId="0" fontId="6" fillId="0" borderId="0" applyNumberFormat="0" applyFill="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32" fillId="45" borderId="1" applyNumberFormat="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41" borderId="0" applyNumberFormat="0" applyBorder="0" applyAlignment="0" applyProtection="0"/>
    <xf numFmtId="0" fontId="29" fillId="0" borderId="4" applyNumberFormat="0" applyFill="0" applyAlignment="0" applyProtection="0"/>
    <xf numFmtId="0" fontId="30" fillId="0" borderId="11"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3" fillId="0" borderId="7" applyNumberFormat="0" applyFill="0" applyAlignment="0" applyProtection="0"/>
    <xf numFmtId="0" fontId="37" fillId="40" borderId="2" applyNumberFormat="0" applyAlignment="0" applyProtection="0"/>
    <xf numFmtId="0" fontId="38" fillId="0" borderId="0" applyNumberFormat="0" applyFill="0" applyBorder="0" applyAlignment="0" applyProtection="0"/>
    <xf numFmtId="0" fontId="26" fillId="39" borderId="1" applyNumberFormat="0" applyAlignment="0" applyProtection="0"/>
    <xf numFmtId="0" fontId="39" fillId="0" borderId="10" applyNumberFormat="0" applyFill="0" applyAlignment="0" applyProtection="0"/>
    <xf numFmtId="0" fontId="25" fillId="38" borderId="0" applyNumberFormat="0" applyBorder="0" applyAlignment="0" applyProtection="0"/>
    <xf numFmtId="0" fontId="0" fillId="46" borderId="8" applyNumberFormat="0" applyFont="0" applyAlignment="0" applyProtection="0"/>
    <xf numFmtId="0" fontId="35" fillId="39" borderId="9" applyNumberFormat="0" applyAlignment="0" applyProtection="0"/>
    <xf numFmtId="0" fontId="34" fillId="43" borderId="0" applyNumberFormat="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7">
    <xf numFmtId="0" fontId="0" fillId="0" borderId="0" xfId="0" applyAlignment="1">
      <alignment/>
    </xf>
    <xf numFmtId="0" fontId="1" fillId="0" borderId="12" xfId="0" applyFont="1" applyBorder="1" applyAlignment="1">
      <alignment/>
    </xf>
    <xf numFmtId="49" fontId="0" fillId="0" borderId="0" xfId="79" applyFont="1">
      <alignment wrapText="1"/>
    </xf>
    <xf numFmtId="49" fontId="0" fillId="0" borderId="0" xfId="64" applyFont="1">
      <alignment horizontal="left" vertical="center" wrapText="1"/>
    </xf>
    <xf numFmtId="49" fontId="0" fillId="0" borderId="0" xfId="62" applyFont="1">
      <alignment horizontal="left" vertical="center" wrapText="1"/>
    </xf>
    <xf numFmtId="49" fontId="1" fillId="0" borderId="3" xfId="63" applyBorder="1" applyAlignment="1">
      <alignment horizontal="center" vertical="center" wrapText="1"/>
    </xf>
    <xf numFmtId="49" fontId="1" fillId="0" borderId="3" xfId="63" applyAlignment="1">
      <alignment horizontal="left" vertical="center" wrapText="1"/>
    </xf>
    <xf numFmtId="49" fontId="1" fillId="0" borderId="3" xfId="63" applyBorder="1" applyAlignment="1">
      <alignment horizontal="left" vertical="center" wrapText="1"/>
    </xf>
    <xf numFmtId="0" fontId="0" fillId="0" borderId="0" xfId="0" applyAlignment="1">
      <alignment horizontal="left" vertical="center"/>
    </xf>
    <xf numFmtId="4" fontId="0" fillId="0" borderId="0" xfId="78" applyFont="1" applyAlignment="1">
      <alignment horizontal="left" vertical="center"/>
    </xf>
    <xf numFmtId="0" fontId="8" fillId="0" borderId="0" xfId="77" applyAlignment="1">
      <alignment horizontal="left" vertical="center"/>
    </xf>
    <xf numFmtId="49" fontId="0" fillId="0" borderId="0" xfId="79" applyFont="1" applyAlignment="1">
      <alignment horizontal="left" vertical="center" wrapText="1"/>
    </xf>
    <xf numFmtId="49" fontId="0" fillId="0" borderId="0" xfId="79" applyFont="1" applyAlignment="1">
      <alignment horizontal="left" vertical="center" wrapText="1"/>
    </xf>
    <xf numFmtId="0" fontId="7" fillId="0" borderId="0" xfId="0" applyFont="1" applyAlignment="1">
      <alignment horizontal="left" vertical="center"/>
    </xf>
    <xf numFmtId="49" fontId="7" fillId="0" borderId="0" xfId="0" applyNumberFormat="1" applyFont="1" applyAlignment="1">
      <alignment horizontal="left" vertical="center"/>
    </xf>
    <xf numFmtId="0" fontId="0" fillId="0" borderId="0" xfId="79" applyNumberFormat="1" applyFont="1" applyAlignment="1">
      <alignment horizontal="left" vertical="center" wrapText="1"/>
    </xf>
    <xf numFmtId="0" fontId="0" fillId="0" borderId="0" xfId="79" applyNumberFormat="1" applyFont="1" applyAlignment="1">
      <alignment horizontal="left"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Block" xfId="61"/>
    <cellStyle name="fCmp" xfId="62"/>
    <cellStyle name="fHead" xfId="63"/>
    <cellStyle name="fName"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Title" xfId="75"/>
    <cellStyle name="Total" xfId="76"/>
    <cellStyle name="vHl" xfId="77"/>
    <cellStyle name="vN0" xfId="78"/>
    <cellStyle name="vSt" xfId="79"/>
    <cellStyle name="Warning Text" xfId="80"/>
    <cellStyle name="Акцентування1" xfId="81"/>
    <cellStyle name="Акцентування2" xfId="82"/>
    <cellStyle name="Акцентування3" xfId="83"/>
    <cellStyle name="Акцентування4" xfId="84"/>
    <cellStyle name="Акцентування5" xfId="85"/>
    <cellStyle name="Акцентування6" xfId="86"/>
    <cellStyle name="Ввід" xfId="87"/>
    <cellStyle name="Percent" xfId="88"/>
    <cellStyle name="Currency" xfId="89"/>
    <cellStyle name="Currency [0]" xfId="90"/>
    <cellStyle name="Добре" xfId="91"/>
    <cellStyle name="Заголовок 1" xfId="92"/>
    <cellStyle name="Заголовок 2" xfId="93"/>
    <cellStyle name="Заголовок 3" xfId="94"/>
    <cellStyle name="Заголовок 4" xfId="95"/>
    <cellStyle name="Зв'язана клітинка" xfId="96"/>
    <cellStyle name="Контрольна клітинка" xfId="97"/>
    <cellStyle name="Назва" xfId="98"/>
    <cellStyle name="Обчислення"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G1666"/>
  <sheetViews>
    <sheetView tabSelected="1" zoomScale="95" zoomScaleNormal="95" zoomScalePageLayoutView="0" workbookViewId="0" topLeftCell="D1">
      <pane ySplit="2" topLeftCell="A168" activePane="bottomLeft" state="frozen"/>
      <selection pane="topLeft" activeCell="A1" sqref="A1"/>
      <selection pane="bottomLeft" activeCell="B168" sqref="B168"/>
    </sheetView>
  </sheetViews>
  <sheetFormatPr defaultColWidth="9.140625" defaultRowHeight="12.75"/>
  <cols>
    <col min="1" max="1" width="6.140625" style="8" customWidth="1"/>
    <col min="2" max="2" width="17.421875" style="8" customWidth="1"/>
    <col min="3" max="3" width="38.57421875" style="8" customWidth="1"/>
    <col min="4" max="4" width="138.00390625" style="8" customWidth="1"/>
    <col min="5" max="5" width="57.140625" style="8" customWidth="1"/>
    <col min="6" max="6" width="35.8515625" style="8" customWidth="1"/>
    <col min="7" max="7" width="9.140625" style="8" hidden="1" customWidth="1"/>
    <col min="8" max="16384" width="9.140625" style="8" customWidth="1"/>
  </cols>
  <sheetData>
    <row r="1" spans="1:6" ht="38.25">
      <c r="A1" s="6" t="s">
        <v>4</v>
      </c>
      <c r="B1" s="7" t="s">
        <v>5</v>
      </c>
      <c r="C1" s="7" t="s">
        <v>6</v>
      </c>
      <c r="D1" s="5" t="s">
        <v>1604</v>
      </c>
      <c r="E1" s="7" t="s">
        <v>7</v>
      </c>
      <c r="F1" s="6" t="s">
        <v>8</v>
      </c>
    </row>
    <row r="2" ht="12.75">
      <c r="B2" s="9">
        <f>SUBTOTAL(9,B3:B1667)</f>
        <v>10753320.169999998</v>
      </c>
    </row>
    <row r="3" spans="1:6" ht="38.25">
      <c r="A3" s="10" t="str">
        <f>HYPERLINK(SUBSTITUTE(T(hl_0),"{0}","327332027678081"),hn_0)</f>
        <v>ОВ</v>
      </c>
      <c r="B3" s="9">
        <v>5700</v>
      </c>
      <c r="C3" s="11" t="s">
        <v>10</v>
      </c>
      <c r="D3" s="15" t="s">
        <v>11</v>
      </c>
      <c r="E3" s="11" t="s">
        <v>12</v>
      </c>
      <c r="F3" s="12" t="s">
        <v>1597</v>
      </c>
    </row>
    <row r="4" spans="1:6" ht="38.25">
      <c r="A4" s="10" t="str">
        <f>HYPERLINK(SUBSTITUTE(T(hl_0),"{0}","332332315878677"),hn_0)</f>
        <v>ОВ</v>
      </c>
      <c r="B4" s="9">
        <v>5700</v>
      </c>
      <c r="C4" s="11" t="s">
        <v>10</v>
      </c>
      <c r="D4" s="15" t="s">
        <v>13</v>
      </c>
      <c r="E4" s="11" t="s">
        <v>14</v>
      </c>
      <c r="F4" s="12" t="s">
        <v>1603</v>
      </c>
    </row>
    <row r="5" spans="1:7" ht="38.25">
      <c r="A5" s="10" t="str">
        <f>HYPERLINK(SUBSTITUTE(T(hl_0),"{0}","900332315794265"),hn_0)</f>
        <v>ОВ</v>
      </c>
      <c r="B5" s="9">
        <v>5700</v>
      </c>
      <c r="C5" s="11" t="s">
        <v>10</v>
      </c>
      <c r="D5" s="15" t="s">
        <v>15</v>
      </c>
      <c r="E5" s="11" t="s">
        <v>16</v>
      </c>
      <c r="F5" s="12" t="s">
        <v>1598</v>
      </c>
      <c r="G5" s="13">
        <v>2</v>
      </c>
    </row>
    <row r="6" spans="1:7" ht="12.75">
      <c r="A6" s="10" t="str">
        <f>HYPERLINK(SUBSTITUTE(T(hl_0),"{0}","327331676361909"),hn_0)</f>
        <v>ОВ</v>
      </c>
      <c r="B6" s="9">
        <v>6000</v>
      </c>
      <c r="C6" s="11" t="s">
        <v>17</v>
      </c>
      <c r="D6" s="15" t="s">
        <v>18</v>
      </c>
      <c r="E6" s="11" t="s">
        <v>16</v>
      </c>
      <c r="F6" s="12" t="s">
        <v>1597</v>
      </c>
      <c r="G6" s="13">
        <v>8</v>
      </c>
    </row>
    <row r="7" spans="1:6" ht="38.25">
      <c r="A7" s="10" t="str">
        <f>HYPERLINK(SUBSTITUTE(T(hl_0),"{0}","321332146839355"),hn_0)</f>
        <v>ОВ</v>
      </c>
      <c r="B7" s="9">
        <v>6000</v>
      </c>
      <c r="C7" s="11" t="s">
        <v>19</v>
      </c>
      <c r="D7" s="15" t="s">
        <v>1160</v>
      </c>
      <c r="E7" s="11" t="s">
        <v>20</v>
      </c>
      <c r="F7" s="12" t="s">
        <v>1595</v>
      </c>
    </row>
    <row r="8" spans="1:7" ht="12.75">
      <c r="A8" s="10" t="str">
        <f>HYPERLINK(SUBSTITUTE(T(hl_0),"{0}","319330882245586"),hn_0)</f>
        <v>ОВ</v>
      </c>
      <c r="B8" s="9">
        <v>6200</v>
      </c>
      <c r="C8" s="11" t="s">
        <v>21</v>
      </c>
      <c r="D8" s="15" t="s">
        <v>1161</v>
      </c>
      <c r="E8" s="11" t="s">
        <v>22</v>
      </c>
      <c r="F8" s="12" t="s">
        <v>1602</v>
      </c>
      <c r="G8" s="14" t="s">
        <v>9</v>
      </c>
    </row>
    <row r="9" spans="1:7" ht="25.5">
      <c r="A9" s="10" t="str">
        <f>HYPERLINK(SUBSTITUTE(T(hl_0),"{0}","320330877648298"),hn_0)</f>
        <v>ОВ</v>
      </c>
      <c r="B9" s="9">
        <v>6500</v>
      </c>
      <c r="C9" s="11" t="s">
        <v>21</v>
      </c>
      <c r="D9" s="15" t="s">
        <v>1162</v>
      </c>
      <c r="E9" s="11" t="s">
        <v>23</v>
      </c>
      <c r="F9" s="12" t="s">
        <v>1592</v>
      </c>
      <c r="G9" s="14" t="s">
        <v>4</v>
      </c>
    </row>
    <row r="10" spans="1:6" ht="25.5">
      <c r="A10" s="10" t="str">
        <f>HYPERLINK(SUBSTITUTE(T(hl_0),"{0}","321327621521343"),hn_0)</f>
        <v>ОВ</v>
      </c>
      <c r="B10" s="9">
        <v>5613</v>
      </c>
      <c r="C10" s="11" t="s">
        <v>21</v>
      </c>
      <c r="D10" s="15" t="s">
        <v>1163</v>
      </c>
      <c r="E10" s="11" t="s">
        <v>20</v>
      </c>
      <c r="F10" s="12" t="s">
        <v>1595</v>
      </c>
    </row>
    <row r="11" spans="1:6" ht="25.5">
      <c r="A11" s="10" t="str">
        <f>HYPERLINK(SUBSTITUTE(T(hl_0),"{0}","323332222276016"),hn_0)</f>
        <v>ОВ</v>
      </c>
      <c r="B11" s="9">
        <v>6000</v>
      </c>
      <c r="C11" s="11" t="s">
        <v>21</v>
      </c>
      <c r="D11" s="15" t="s">
        <v>1164</v>
      </c>
      <c r="E11" s="11" t="s">
        <v>24</v>
      </c>
      <c r="F11" s="11" t="s">
        <v>1594</v>
      </c>
    </row>
    <row r="12" spans="1:6" ht="25.5">
      <c r="A12" s="10" t="str">
        <f>HYPERLINK(SUBSTITUTE(T(hl_0),"{0}","900331848974590"),hn_0)</f>
        <v>ОВ</v>
      </c>
      <c r="B12" s="9">
        <v>15000</v>
      </c>
      <c r="C12" s="11" t="s">
        <v>21</v>
      </c>
      <c r="D12" s="15" t="s">
        <v>25</v>
      </c>
      <c r="E12" s="11" t="s">
        <v>16</v>
      </c>
      <c r="F12" s="12" t="s">
        <v>1598</v>
      </c>
    </row>
    <row r="13" spans="1:6" ht="12.75">
      <c r="A13" s="10" t="str">
        <f>HYPERLINK(SUBSTITUTE(T(hl_0),"{0}","319332247113696"),hn_0)</f>
        <v>ОВ</v>
      </c>
      <c r="B13" s="9">
        <v>7000</v>
      </c>
      <c r="C13" s="11" t="s">
        <v>26</v>
      </c>
      <c r="D13" s="15" t="s">
        <v>27</v>
      </c>
      <c r="E13" s="11" t="s">
        <v>22</v>
      </c>
      <c r="F13" s="12" t="s">
        <v>1602</v>
      </c>
    </row>
    <row r="14" spans="1:6" ht="38.25">
      <c r="A14" s="10" t="str">
        <f>HYPERLINK(SUBSTITUTE(T(hl_0),"{0}","320331140794842"),hn_0)</f>
        <v>ОВ</v>
      </c>
      <c r="B14" s="9">
        <v>5750</v>
      </c>
      <c r="C14" s="11" t="s">
        <v>26</v>
      </c>
      <c r="D14" s="15" t="s">
        <v>1165</v>
      </c>
      <c r="E14" s="11" t="s">
        <v>23</v>
      </c>
      <c r="F14" s="12" t="s">
        <v>1592</v>
      </c>
    </row>
    <row r="15" spans="1:6" ht="38.25">
      <c r="A15" s="10" t="str">
        <f>HYPERLINK(SUBSTITUTE(T(hl_0),"{0}","321332221221273"),hn_0)</f>
        <v>ОВ</v>
      </c>
      <c r="B15" s="9">
        <v>5500</v>
      </c>
      <c r="C15" s="11" t="s">
        <v>26</v>
      </c>
      <c r="D15" s="15" t="s">
        <v>1166</v>
      </c>
      <c r="E15" s="11" t="s">
        <v>20</v>
      </c>
      <c r="F15" s="12" t="s">
        <v>1595</v>
      </c>
    </row>
    <row r="16" spans="1:6" ht="63.75">
      <c r="A16" s="10" t="str">
        <f>HYPERLINK(SUBSTITUTE(T(hl_0),"{0}","330332315754398"),hn_0)</f>
        <v>ОВ</v>
      </c>
      <c r="B16" s="9">
        <v>8000</v>
      </c>
      <c r="C16" s="11" t="s">
        <v>26</v>
      </c>
      <c r="D16" s="15" t="s">
        <v>1167</v>
      </c>
      <c r="E16" s="11" t="s">
        <v>28</v>
      </c>
      <c r="F16" s="12" t="s">
        <v>1601</v>
      </c>
    </row>
    <row r="17" spans="1:6" ht="63.75">
      <c r="A17" s="10" t="str">
        <f>HYPERLINK(SUBSTITUTE(T(hl_0),"{0}","330332223380166"),hn_0)</f>
        <v>ОВ</v>
      </c>
      <c r="B17" s="9">
        <v>6000</v>
      </c>
      <c r="C17" s="11" t="s">
        <v>26</v>
      </c>
      <c r="D17" s="15" t="s">
        <v>1168</v>
      </c>
      <c r="E17" s="11" t="s">
        <v>29</v>
      </c>
      <c r="F17" s="12" t="s">
        <v>1601</v>
      </c>
    </row>
    <row r="18" spans="1:6" ht="25.5">
      <c r="A18" s="10" t="str">
        <f>HYPERLINK(SUBSTITUTE(T(hl_0),"{0}","332331875256723"),hn_0)</f>
        <v>ОВ</v>
      </c>
      <c r="B18" s="9">
        <v>7000</v>
      </c>
      <c r="C18" s="11" t="s">
        <v>26</v>
      </c>
      <c r="D18" s="15" t="s">
        <v>30</v>
      </c>
      <c r="E18" s="11" t="s">
        <v>14</v>
      </c>
      <c r="F18" s="12" t="s">
        <v>1603</v>
      </c>
    </row>
    <row r="19" spans="1:6" ht="25.5">
      <c r="A19" s="10" t="str">
        <f>HYPERLINK(SUBSTITUTE(T(hl_0),"{0}","332331875267207"),hn_0)</f>
        <v>ОВ</v>
      </c>
      <c r="B19" s="9">
        <v>7000</v>
      </c>
      <c r="C19" s="11" t="s">
        <v>26</v>
      </c>
      <c r="D19" s="15" t="s">
        <v>30</v>
      </c>
      <c r="E19" s="11" t="s">
        <v>14</v>
      </c>
      <c r="F19" s="12" t="s">
        <v>1603</v>
      </c>
    </row>
    <row r="20" spans="1:6" ht="25.5">
      <c r="A20" s="10" t="str">
        <f>HYPERLINK(SUBSTITUTE(T(hl_0),"{0}","332331875267192"),hn_0)</f>
        <v>ОВ</v>
      </c>
      <c r="B20" s="9">
        <v>7000</v>
      </c>
      <c r="C20" s="11" t="s">
        <v>26</v>
      </c>
      <c r="D20" s="15" t="s">
        <v>30</v>
      </c>
      <c r="E20" s="11" t="s">
        <v>14</v>
      </c>
      <c r="F20" s="12" t="s">
        <v>1603</v>
      </c>
    </row>
    <row r="21" spans="1:6" ht="38.25">
      <c r="A21" s="10" t="str">
        <f>HYPERLINK(SUBSTITUTE(T(hl_0),"{0}","332329115558202"),hn_0)</f>
        <v>ОВ</v>
      </c>
      <c r="B21" s="9">
        <v>7000</v>
      </c>
      <c r="C21" s="11" t="s">
        <v>26</v>
      </c>
      <c r="D21" s="15" t="s">
        <v>1169</v>
      </c>
      <c r="E21" s="11" t="s">
        <v>14</v>
      </c>
      <c r="F21" s="12" t="s">
        <v>1603</v>
      </c>
    </row>
    <row r="22" spans="1:6" ht="38.25">
      <c r="A22" s="10" t="str">
        <f>HYPERLINK(SUBSTITUTE(T(hl_0),"{0}","332329115558211"),hn_0)</f>
        <v>ОВ</v>
      </c>
      <c r="B22" s="9">
        <v>7000</v>
      </c>
      <c r="C22" s="11" t="s">
        <v>26</v>
      </c>
      <c r="D22" s="15" t="s">
        <v>1169</v>
      </c>
      <c r="E22" s="11" t="s">
        <v>14</v>
      </c>
      <c r="F22" s="12" t="s">
        <v>1603</v>
      </c>
    </row>
    <row r="23" spans="1:6" ht="38.25">
      <c r="A23" s="10" t="str">
        <f>HYPERLINK(SUBSTITUTE(T(hl_0),"{0}","327327668665170"),hn_0)</f>
        <v>ОВ</v>
      </c>
      <c r="B23" s="9">
        <v>8000</v>
      </c>
      <c r="C23" s="11" t="s">
        <v>31</v>
      </c>
      <c r="D23" s="15" t="s">
        <v>32</v>
      </c>
      <c r="E23" s="11" t="s">
        <v>33</v>
      </c>
      <c r="F23" s="12" t="s">
        <v>1597</v>
      </c>
    </row>
    <row r="24" spans="1:6" ht="25.5">
      <c r="A24" s="10" t="str">
        <f>HYPERLINK(SUBSTITUTE(T(hl_0),"{0}","900331899730676"),hn_0)</f>
        <v>ОВ</v>
      </c>
      <c r="B24" s="9">
        <v>7000</v>
      </c>
      <c r="C24" s="11" t="s">
        <v>34</v>
      </c>
      <c r="D24" s="15" t="s">
        <v>35</v>
      </c>
      <c r="E24" s="11" t="s">
        <v>16</v>
      </c>
      <c r="F24" s="12" t="s">
        <v>1598</v>
      </c>
    </row>
    <row r="25" spans="1:6" ht="25.5">
      <c r="A25" s="10" t="str">
        <f>HYPERLINK(SUBSTITUTE(T(hl_0),"{0}","900331903887201"),hn_0)</f>
        <v>ОВ</v>
      </c>
      <c r="B25" s="9">
        <v>7000</v>
      </c>
      <c r="C25" s="11" t="s">
        <v>34</v>
      </c>
      <c r="D25" s="15" t="s">
        <v>35</v>
      </c>
      <c r="E25" s="11" t="s">
        <v>23</v>
      </c>
      <c r="F25" s="12" t="s">
        <v>1598</v>
      </c>
    </row>
    <row r="26" spans="1:6" ht="25.5">
      <c r="A26" s="10" t="str">
        <f>HYPERLINK(SUBSTITUTE(T(hl_0),"{0}","900331903887207"),hn_0)</f>
        <v>ОВ</v>
      </c>
      <c r="B26" s="9">
        <v>7000</v>
      </c>
      <c r="C26" s="11" t="s">
        <v>34</v>
      </c>
      <c r="D26" s="15" t="s">
        <v>35</v>
      </c>
      <c r="E26" s="11" t="s">
        <v>36</v>
      </c>
      <c r="F26" s="12" t="s">
        <v>1598</v>
      </c>
    </row>
    <row r="27" spans="1:6" ht="25.5">
      <c r="A27" s="10" t="str">
        <f>HYPERLINK(SUBSTITUTE(T(hl_0),"{0}","900331899733390"),hn_0)</f>
        <v>ОВ</v>
      </c>
      <c r="B27" s="9">
        <v>7000</v>
      </c>
      <c r="C27" s="11" t="s">
        <v>34</v>
      </c>
      <c r="D27" s="15" t="s">
        <v>35</v>
      </c>
      <c r="E27" s="11" t="s">
        <v>16</v>
      </c>
      <c r="F27" s="12" t="s">
        <v>1598</v>
      </c>
    </row>
    <row r="28" spans="1:6" ht="25.5">
      <c r="A28" s="10" t="str">
        <f>HYPERLINK(SUBSTITUTE(T(hl_0),"{0}","900331903924478"),hn_0)</f>
        <v>ОВ</v>
      </c>
      <c r="B28" s="9">
        <v>7000</v>
      </c>
      <c r="C28" s="11" t="s">
        <v>34</v>
      </c>
      <c r="D28" s="15" t="s">
        <v>35</v>
      </c>
      <c r="E28" s="11" t="s">
        <v>37</v>
      </c>
      <c r="F28" s="12" t="s">
        <v>1598</v>
      </c>
    </row>
    <row r="29" spans="1:6" ht="25.5">
      <c r="A29" s="10" t="str">
        <f>HYPERLINK(SUBSTITUTE(T(hl_0),"{0}","900331903924490"),hn_0)</f>
        <v>ОВ</v>
      </c>
      <c r="B29" s="9">
        <v>7000</v>
      </c>
      <c r="C29" s="11" t="s">
        <v>34</v>
      </c>
      <c r="D29" s="15" t="s">
        <v>35</v>
      </c>
      <c r="E29" s="11" t="s">
        <v>38</v>
      </c>
      <c r="F29" s="12" t="s">
        <v>1598</v>
      </c>
    </row>
    <row r="30" spans="1:6" ht="25.5">
      <c r="A30" s="10" t="str">
        <f>HYPERLINK(SUBSTITUTE(T(hl_0),"{0}","900331903845302"),hn_0)</f>
        <v>ОВ</v>
      </c>
      <c r="B30" s="9">
        <v>7000</v>
      </c>
      <c r="C30" s="11" t="s">
        <v>34</v>
      </c>
      <c r="D30" s="15" t="s">
        <v>35</v>
      </c>
      <c r="E30" s="11" t="s">
        <v>22</v>
      </c>
      <c r="F30" s="12" t="s">
        <v>1598</v>
      </c>
    </row>
    <row r="31" spans="1:6" ht="25.5">
      <c r="A31" s="10" t="str">
        <f>HYPERLINK(SUBSTITUTE(T(hl_0),"{0}","900331903845308"),hn_0)</f>
        <v>ОВ</v>
      </c>
      <c r="B31" s="9">
        <v>7000</v>
      </c>
      <c r="C31" s="11" t="s">
        <v>34</v>
      </c>
      <c r="D31" s="15" t="s">
        <v>35</v>
      </c>
      <c r="E31" s="11" t="s">
        <v>22</v>
      </c>
      <c r="F31" s="12" t="s">
        <v>1598</v>
      </c>
    </row>
    <row r="32" spans="1:6" ht="25.5">
      <c r="A32" s="10" t="str">
        <f>HYPERLINK(SUBSTITUTE(T(hl_0),"{0}","900331903845314"),hn_0)</f>
        <v>ОВ</v>
      </c>
      <c r="B32" s="9">
        <v>7000</v>
      </c>
      <c r="C32" s="11" t="s">
        <v>34</v>
      </c>
      <c r="D32" s="15" t="s">
        <v>35</v>
      </c>
      <c r="E32" s="11" t="s">
        <v>22</v>
      </c>
      <c r="F32" s="12" t="s">
        <v>1598</v>
      </c>
    </row>
    <row r="33" spans="1:6" ht="25.5">
      <c r="A33" s="10" t="str">
        <f>HYPERLINK(SUBSTITUTE(T(hl_0),"{0}","900331903845320"),hn_0)</f>
        <v>ОВ</v>
      </c>
      <c r="B33" s="9">
        <v>7000</v>
      </c>
      <c r="C33" s="11" t="s">
        <v>34</v>
      </c>
      <c r="D33" s="15" t="s">
        <v>35</v>
      </c>
      <c r="E33" s="11" t="s">
        <v>22</v>
      </c>
      <c r="F33" s="12" t="s">
        <v>1598</v>
      </c>
    </row>
    <row r="34" spans="1:6" ht="25.5">
      <c r="A34" s="10" t="str">
        <f>HYPERLINK(SUBSTITUTE(T(hl_0),"{0}","900331899733396"),hn_0)</f>
        <v>ОВ</v>
      </c>
      <c r="B34" s="9">
        <v>7000</v>
      </c>
      <c r="C34" s="11" t="s">
        <v>34</v>
      </c>
      <c r="D34" s="15" t="s">
        <v>35</v>
      </c>
      <c r="E34" s="11" t="s">
        <v>16</v>
      </c>
      <c r="F34" s="12" t="s">
        <v>1598</v>
      </c>
    </row>
    <row r="35" spans="1:6" ht="38.25">
      <c r="A35" s="10" t="str">
        <f>HYPERLINK(SUBSTITUTE(T(hl_0),"{0}","321331702650745"),hn_0)</f>
        <v>ОВ</v>
      </c>
      <c r="B35" s="9">
        <v>8000</v>
      </c>
      <c r="C35" s="11" t="s">
        <v>39</v>
      </c>
      <c r="D35" s="15" t="s">
        <v>1170</v>
      </c>
      <c r="E35" s="11" t="s">
        <v>20</v>
      </c>
      <c r="F35" s="12" t="s">
        <v>1595</v>
      </c>
    </row>
    <row r="36" spans="1:6" ht="38.25">
      <c r="A36" s="10" t="str">
        <f>HYPERLINK(SUBSTITUTE(T(hl_0),"{0}","326327689840714"),hn_0)</f>
        <v>ОВ</v>
      </c>
      <c r="B36" s="9">
        <v>6000</v>
      </c>
      <c r="C36" s="11" t="s">
        <v>39</v>
      </c>
      <c r="D36" s="15" t="s">
        <v>1171</v>
      </c>
      <c r="E36" s="11" t="s">
        <v>40</v>
      </c>
      <c r="F36" s="12" t="s">
        <v>1596</v>
      </c>
    </row>
    <row r="37" spans="1:6" ht="12.75">
      <c r="A37" s="10" t="str">
        <f>HYPERLINK(SUBSTITUTE(T(hl_0),"{0}","327328111006728"),hn_0)</f>
        <v>ОВ</v>
      </c>
      <c r="B37" s="9">
        <v>5100</v>
      </c>
      <c r="C37" s="11" t="s">
        <v>39</v>
      </c>
      <c r="D37" s="15" t="s">
        <v>41</v>
      </c>
      <c r="E37" s="11" t="s">
        <v>42</v>
      </c>
      <c r="F37" s="12" t="s">
        <v>1597</v>
      </c>
    </row>
    <row r="38" spans="1:6" ht="51">
      <c r="A38" s="10" t="str">
        <f>HYPERLINK(SUBSTITUTE(T(hl_0),"{0}","329332077565807"),hn_0)</f>
        <v>ОВ</v>
      </c>
      <c r="B38" s="9">
        <v>5000</v>
      </c>
      <c r="C38" s="11" t="s">
        <v>39</v>
      </c>
      <c r="D38" s="15" t="s">
        <v>43</v>
      </c>
      <c r="E38" s="11" t="s">
        <v>44</v>
      </c>
      <c r="F38" s="11" t="s">
        <v>1600</v>
      </c>
    </row>
    <row r="39" spans="1:6" ht="51">
      <c r="A39" s="10" t="str">
        <f>HYPERLINK(SUBSTITUTE(T(hl_0),"{0}","330331816548167"),hn_0)</f>
        <v>ОВ</v>
      </c>
      <c r="B39" s="9">
        <v>4723</v>
      </c>
      <c r="C39" s="11" t="s">
        <v>39</v>
      </c>
      <c r="D39" s="15" t="s">
        <v>1172</v>
      </c>
      <c r="E39" s="11" t="s">
        <v>45</v>
      </c>
      <c r="F39" s="12" t="s">
        <v>1601</v>
      </c>
    </row>
    <row r="40" spans="1:6" ht="12.75">
      <c r="A40" s="10" t="str">
        <f>HYPERLINK(SUBSTITUTE(T(hl_0),"{0}","900331903301600"),hn_0)</f>
        <v>ОВ</v>
      </c>
      <c r="B40" s="9">
        <v>5500</v>
      </c>
      <c r="C40" s="11" t="s">
        <v>46</v>
      </c>
      <c r="D40" s="15" t="s">
        <v>47</v>
      </c>
      <c r="E40" s="11" t="s">
        <v>23</v>
      </c>
      <c r="F40" s="12" t="s">
        <v>1598</v>
      </c>
    </row>
    <row r="41" spans="1:6" ht="25.5">
      <c r="A41" s="10" t="str">
        <f>HYPERLINK(SUBSTITUTE(T(hl_0),"{0}","319331674363942"),hn_0)</f>
        <v>ОВ</v>
      </c>
      <c r="B41" s="9">
        <v>5500</v>
      </c>
      <c r="C41" s="11" t="s">
        <v>48</v>
      </c>
      <c r="D41" s="15" t="s">
        <v>1173</v>
      </c>
      <c r="E41" s="11" t="s">
        <v>22</v>
      </c>
      <c r="F41" s="12" t="s">
        <v>1602</v>
      </c>
    </row>
    <row r="42" spans="1:6" ht="38.25">
      <c r="A42" s="10" t="str">
        <f>HYPERLINK(SUBSTITUTE(T(hl_0),"{0}","332327315224812"),hn_0)</f>
        <v>ОВ</v>
      </c>
      <c r="B42" s="9">
        <v>6000</v>
      </c>
      <c r="C42" s="11" t="s">
        <v>49</v>
      </c>
      <c r="D42" s="15" t="s">
        <v>1174</v>
      </c>
      <c r="E42" s="11" t="s">
        <v>50</v>
      </c>
      <c r="F42" s="12" t="s">
        <v>1603</v>
      </c>
    </row>
    <row r="43" spans="1:6" ht="12.75">
      <c r="A43" s="10" t="str">
        <f>HYPERLINK(SUBSTITUTE(T(hl_0),"{0}","322332250677584"),hn_0)</f>
        <v>ОВ</v>
      </c>
      <c r="B43" s="9">
        <v>8000</v>
      </c>
      <c r="C43" s="11" t="s">
        <v>51</v>
      </c>
      <c r="D43" s="15" t="s">
        <v>52</v>
      </c>
      <c r="E43" s="11" t="s">
        <v>37</v>
      </c>
      <c r="F43" s="12" t="s">
        <v>1593</v>
      </c>
    </row>
    <row r="44" spans="1:6" ht="38.25">
      <c r="A44" s="10" t="str">
        <f>HYPERLINK(SUBSTITUTE(T(hl_0),"{0}","900330492444850"),hn_0)</f>
        <v>ОВ</v>
      </c>
      <c r="B44" s="9">
        <v>7000</v>
      </c>
      <c r="C44" s="11" t="s">
        <v>51</v>
      </c>
      <c r="D44" s="15" t="s">
        <v>53</v>
      </c>
      <c r="E44" s="11" t="s">
        <v>16</v>
      </c>
      <c r="F44" s="12" t="s">
        <v>1598</v>
      </c>
    </row>
    <row r="45" spans="1:6" ht="25.5">
      <c r="A45" s="10" t="str">
        <f>HYPERLINK(SUBSTITUTE(T(hl_0),"{0}","900330084452266"),hn_0)</f>
        <v>ОВ</v>
      </c>
      <c r="B45" s="9">
        <v>6500</v>
      </c>
      <c r="C45" s="11" t="s">
        <v>54</v>
      </c>
      <c r="D45" s="15" t="s">
        <v>55</v>
      </c>
      <c r="E45" s="11" t="s">
        <v>16</v>
      </c>
      <c r="F45" s="12" t="s">
        <v>1598</v>
      </c>
    </row>
    <row r="46" spans="1:6" ht="25.5">
      <c r="A46" s="10" t="str">
        <f>HYPERLINK(SUBSTITUTE(T(hl_0),"{0}","900327859523814"),hn_0)</f>
        <v>ОВ</v>
      </c>
      <c r="B46" s="9">
        <v>6000</v>
      </c>
      <c r="C46" s="11" t="s">
        <v>56</v>
      </c>
      <c r="D46" s="15" t="s">
        <v>57</v>
      </c>
      <c r="E46" s="11" t="s">
        <v>16</v>
      </c>
      <c r="F46" s="12" t="s">
        <v>1598</v>
      </c>
    </row>
    <row r="47" spans="1:6" ht="38.25">
      <c r="A47" s="10" t="str">
        <f>HYPERLINK(SUBSTITUTE(T(hl_0),"{0}","321328111973149"),hn_0)</f>
        <v>ОВ</v>
      </c>
      <c r="B47" s="9">
        <v>12000</v>
      </c>
      <c r="C47" s="11" t="s">
        <v>58</v>
      </c>
      <c r="D47" s="15" t="s">
        <v>1175</v>
      </c>
      <c r="E47" s="11" t="s">
        <v>20</v>
      </c>
      <c r="F47" s="12" t="s">
        <v>1595</v>
      </c>
    </row>
    <row r="48" spans="1:6" ht="12.75">
      <c r="A48" s="10" t="str">
        <f>HYPERLINK(SUBSTITUTE(T(hl_0),"{0}","328332147563775"),hn_0)</f>
        <v>ОВ</v>
      </c>
      <c r="B48" s="9">
        <v>5736</v>
      </c>
      <c r="C48" s="11" t="s">
        <v>59</v>
      </c>
      <c r="D48" s="15" t="s">
        <v>60</v>
      </c>
      <c r="E48" s="11" t="s">
        <v>61</v>
      </c>
      <c r="F48" s="11" t="s">
        <v>1599</v>
      </c>
    </row>
    <row r="49" spans="1:6" ht="12.75">
      <c r="A49" s="10" t="str">
        <f>HYPERLINK(SUBSTITUTE(T(hl_0),"{0}","900331535102691"),hn_0)</f>
        <v>ОВ</v>
      </c>
      <c r="B49" s="9">
        <v>7500</v>
      </c>
      <c r="C49" s="11" t="s">
        <v>59</v>
      </c>
      <c r="D49" s="15" t="s">
        <v>62</v>
      </c>
      <c r="E49" s="11" t="s">
        <v>16</v>
      </c>
      <c r="F49" s="12" t="s">
        <v>1599</v>
      </c>
    </row>
    <row r="50" spans="1:6" ht="12.75">
      <c r="A50" s="10" t="str">
        <f>HYPERLINK(SUBSTITUTE(T(hl_0),"{0}","319327465880065"),hn_0)</f>
        <v>ОВ</v>
      </c>
      <c r="B50" s="9">
        <v>8000</v>
      </c>
      <c r="C50" s="11" t="s">
        <v>63</v>
      </c>
      <c r="D50" s="15" t="s">
        <v>1176</v>
      </c>
      <c r="E50" s="11" t="s">
        <v>22</v>
      </c>
      <c r="F50" s="11" t="s">
        <v>1599</v>
      </c>
    </row>
    <row r="51" spans="1:6" ht="51">
      <c r="A51" s="10" t="str">
        <f>HYPERLINK(SUBSTITUTE(T(hl_0),"{0}","321331315160047"),hn_0)</f>
        <v>ОВ</v>
      </c>
      <c r="B51" s="9">
        <v>8000</v>
      </c>
      <c r="C51" s="11" t="s">
        <v>63</v>
      </c>
      <c r="D51" s="15" t="s">
        <v>1177</v>
      </c>
      <c r="E51" s="11" t="s">
        <v>64</v>
      </c>
      <c r="F51" s="12" t="s">
        <v>1599</v>
      </c>
    </row>
    <row r="52" spans="1:6" ht="12.75">
      <c r="A52" s="10" t="str">
        <f>HYPERLINK(SUBSTITUTE(T(hl_0),"{0}","327331871236668"),hn_0)</f>
        <v>ОВ</v>
      </c>
      <c r="B52" s="9">
        <v>8000</v>
      </c>
      <c r="C52" s="11" t="s">
        <v>63</v>
      </c>
      <c r="D52" s="15" t="s">
        <v>65</v>
      </c>
      <c r="E52" s="11" t="s">
        <v>42</v>
      </c>
      <c r="F52" s="12" t="s">
        <v>1599</v>
      </c>
    </row>
    <row r="53" spans="1:6" ht="12.75">
      <c r="A53" s="10" t="str">
        <f>HYPERLINK(SUBSTITUTE(T(hl_0),"{0}","900331674085747"),hn_0)</f>
        <v>ОВ</v>
      </c>
      <c r="B53" s="9">
        <v>8000</v>
      </c>
      <c r="C53" s="11" t="s">
        <v>63</v>
      </c>
      <c r="D53" s="15" t="s">
        <v>66</v>
      </c>
      <c r="E53" s="11" t="s">
        <v>42</v>
      </c>
      <c r="F53" s="12" t="s">
        <v>1599</v>
      </c>
    </row>
    <row r="54" spans="1:6" ht="25.5">
      <c r="A54" s="10" t="str">
        <f>HYPERLINK(SUBSTITUTE(T(hl_0),"{0}","321328012484076"),hn_0)</f>
        <v>ОВ</v>
      </c>
      <c r="B54" s="9">
        <v>10500</v>
      </c>
      <c r="C54" s="11" t="s">
        <v>67</v>
      </c>
      <c r="D54" s="15" t="s">
        <v>1178</v>
      </c>
      <c r="E54" s="11" t="s">
        <v>20</v>
      </c>
      <c r="F54" s="12" t="s">
        <v>1599</v>
      </c>
    </row>
    <row r="55" spans="1:6" ht="12.75">
      <c r="A55" s="10" t="str">
        <f>HYPERLINK(SUBSTITUTE(T(hl_0),"{0}","319331648415963"),hn_0)</f>
        <v>ОВ</v>
      </c>
      <c r="B55" s="9">
        <v>6000</v>
      </c>
      <c r="C55" s="11" t="s">
        <v>68</v>
      </c>
      <c r="D55" s="15" t="s">
        <v>1179</v>
      </c>
      <c r="E55" s="11" t="s">
        <v>22</v>
      </c>
      <c r="F55" s="11" t="s">
        <v>1599</v>
      </c>
    </row>
    <row r="56" spans="1:6" ht="12.75">
      <c r="A56" s="10" t="str">
        <f>HYPERLINK(SUBSTITUTE(T(hl_0),"{0}","319331648377103"),hn_0)</f>
        <v>ОВ</v>
      </c>
      <c r="B56" s="9">
        <v>6000</v>
      </c>
      <c r="C56" s="11" t="s">
        <v>68</v>
      </c>
      <c r="D56" s="15" t="s">
        <v>1179</v>
      </c>
      <c r="E56" s="11" t="s">
        <v>22</v>
      </c>
      <c r="F56" s="11" t="s">
        <v>1599</v>
      </c>
    </row>
    <row r="57" spans="1:6" ht="25.5">
      <c r="A57" s="10" t="str">
        <f>HYPERLINK(SUBSTITUTE(T(hl_0),"{0}","321330360745978"),hn_0)</f>
        <v>ОВ</v>
      </c>
      <c r="B57" s="9">
        <v>5890</v>
      </c>
      <c r="C57" s="11" t="s">
        <v>68</v>
      </c>
      <c r="D57" s="15" t="s">
        <v>1180</v>
      </c>
      <c r="E57" s="11" t="s">
        <v>20</v>
      </c>
      <c r="F57" s="12" t="s">
        <v>1599</v>
      </c>
    </row>
    <row r="58" spans="1:6" ht="25.5">
      <c r="A58" s="10" t="str">
        <f>HYPERLINK(SUBSTITUTE(T(hl_0),"{0}","326330495079776"),hn_0)</f>
        <v>ОВ</v>
      </c>
      <c r="B58" s="9">
        <v>7000</v>
      </c>
      <c r="C58" s="11" t="s">
        <v>69</v>
      </c>
      <c r="D58" s="15" t="s">
        <v>1181</v>
      </c>
      <c r="E58" s="11" t="s">
        <v>70</v>
      </c>
      <c r="F58" s="12" t="s">
        <v>1599</v>
      </c>
    </row>
    <row r="59" spans="1:6" ht="25.5">
      <c r="A59" s="10" t="str">
        <f>HYPERLINK(SUBSTITUTE(T(hl_0),"{0}","900331903349522"),hn_0)</f>
        <v>ОВ</v>
      </c>
      <c r="B59" s="9">
        <v>6000</v>
      </c>
      <c r="C59" s="11" t="s">
        <v>71</v>
      </c>
      <c r="D59" s="15" t="s">
        <v>72</v>
      </c>
      <c r="E59" s="11" t="s">
        <v>36</v>
      </c>
      <c r="F59" s="12" t="s">
        <v>1599</v>
      </c>
    </row>
    <row r="60" spans="1:6" ht="25.5">
      <c r="A60" s="10" t="str">
        <f>HYPERLINK(SUBSTITUTE(T(hl_0),"{0}","900331903349528"),hn_0)</f>
        <v>ОВ</v>
      </c>
      <c r="B60" s="9">
        <v>6000</v>
      </c>
      <c r="C60" s="11" t="s">
        <v>71</v>
      </c>
      <c r="D60" s="15" t="s">
        <v>72</v>
      </c>
      <c r="E60" s="11" t="s">
        <v>36</v>
      </c>
      <c r="F60" s="12" t="s">
        <v>1599</v>
      </c>
    </row>
    <row r="61" spans="1:6" ht="25.5">
      <c r="A61" s="10" t="str">
        <f>HYPERLINK(SUBSTITUTE(T(hl_0),"{0}","900331903349541"),hn_0)</f>
        <v>ОВ</v>
      </c>
      <c r="B61" s="9">
        <v>6000</v>
      </c>
      <c r="C61" s="11" t="s">
        <v>71</v>
      </c>
      <c r="D61" s="15" t="s">
        <v>72</v>
      </c>
      <c r="E61" s="11" t="s">
        <v>36</v>
      </c>
      <c r="F61" s="12" t="s">
        <v>1599</v>
      </c>
    </row>
    <row r="62" spans="1:6" ht="25.5">
      <c r="A62" s="10" t="str">
        <f>HYPERLINK(SUBSTITUTE(T(hl_0),"{0}","900331900473251"),hn_0)</f>
        <v>ОВ</v>
      </c>
      <c r="B62" s="9">
        <v>6000</v>
      </c>
      <c r="C62" s="11" t="s">
        <v>71</v>
      </c>
      <c r="D62" s="15" t="s">
        <v>72</v>
      </c>
      <c r="E62" s="11" t="s">
        <v>16</v>
      </c>
      <c r="F62" s="12" t="s">
        <v>1599</v>
      </c>
    </row>
    <row r="63" spans="1:6" ht="25.5">
      <c r="A63" s="10" t="str">
        <f>HYPERLINK(SUBSTITUTE(T(hl_0),"{0}","900331900473257"),hn_0)</f>
        <v>ОВ</v>
      </c>
      <c r="B63" s="9">
        <v>6000</v>
      </c>
      <c r="C63" s="11" t="s">
        <v>71</v>
      </c>
      <c r="D63" s="15" t="s">
        <v>72</v>
      </c>
      <c r="E63" s="11" t="s">
        <v>16</v>
      </c>
      <c r="F63" s="12" t="s">
        <v>1599</v>
      </c>
    </row>
    <row r="64" spans="1:6" ht="25.5">
      <c r="A64" s="10" t="str">
        <f>HYPERLINK(SUBSTITUTE(T(hl_0),"{0}","900331900473263"),hn_0)</f>
        <v>ОВ</v>
      </c>
      <c r="B64" s="9">
        <v>6000</v>
      </c>
      <c r="C64" s="11" t="s">
        <v>71</v>
      </c>
      <c r="D64" s="15" t="s">
        <v>72</v>
      </c>
      <c r="E64" s="11" t="s">
        <v>16</v>
      </c>
      <c r="F64" s="12" t="s">
        <v>1599</v>
      </c>
    </row>
    <row r="65" spans="1:6" ht="25.5">
      <c r="A65" s="10" t="str">
        <f>HYPERLINK(SUBSTITUTE(T(hl_0),"{0}","900331900467561"),hn_0)</f>
        <v>ОВ</v>
      </c>
      <c r="B65" s="9">
        <v>6000</v>
      </c>
      <c r="C65" s="11" t="s">
        <v>71</v>
      </c>
      <c r="D65" s="15" t="s">
        <v>72</v>
      </c>
      <c r="E65" s="11" t="s">
        <v>16</v>
      </c>
      <c r="F65" s="12" t="s">
        <v>1599</v>
      </c>
    </row>
    <row r="66" spans="1:6" ht="25.5">
      <c r="A66" s="10" t="str">
        <f>HYPERLINK(SUBSTITUTE(T(hl_0),"{0}","900331903646308"),hn_0)</f>
        <v>ОВ</v>
      </c>
      <c r="B66" s="9">
        <v>6000</v>
      </c>
      <c r="C66" s="11" t="s">
        <v>71</v>
      </c>
      <c r="D66" s="15" t="s">
        <v>72</v>
      </c>
      <c r="E66" s="11" t="s">
        <v>22</v>
      </c>
      <c r="F66" s="12" t="s">
        <v>1599</v>
      </c>
    </row>
    <row r="67" spans="1:6" ht="25.5">
      <c r="A67" s="10" t="str">
        <f>HYPERLINK(SUBSTITUTE(T(hl_0),"{0}","900331903646314"),hn_0)</f>
        <v>ОВ</v>
      </c>
      <c r="B67" s="9">
        <v>6000</v>
      </c>
      <c r="C67" s="11" t="s">
        <v>71</v>
      </c>
      <c r="D67" s="15" t="s">
        <v>72</v>
      </c>
      <c r="E67" s="11" t="s">
        <v>22</v>
      </c>
      <c r="F67" s="12" t="s">
        <v>1599</v>
      </c>
    </row>
    <row r="68" spans="1:6" ht="25.5">
      <c r="A68" s="10" t="str">
        <f>HYPERLINK(SUBSTITUTE(T(hl_0),"{0}","900331903376087"),hn_0)</f>
        <v>ОВ</v>
      </c>
      <c r="B68" s="9">
        <v>6000</v>
      </c>
      <c r="C68" s="11" t="s">
        <v>71</v>
      </c>
      <c r="D68" s="15" t="s">
        <v>72</v>
      </c>
      <c r="E68" s="11" t="s">
        <v>37</v>
      </c>
      <c r="F68" s="12" t="s">
        <v>1599</v>
      </c>
    </row>
    <row r="69" spans="1:6" ht="25.5">
      <c r="A69" s="10" t="str">
        <f>HYPERLINK(SUBSTITUTE(T(hl_0),"{0}","900331903591982"),hn_0)</f>
        <v>ОВ</v>
      </c>
      <c r="B69" s="9">
        <v>6000</v>
      </c>
      <c r="C69" s="11" t="s">
        <v>71</v>
      </c>
      <c r="D69" s="15" t="s">
        <v>72</v>
      </c>
      <c r="E69" s="11" t="s">
        <v>23</v>
      </c>
      <c r="F69" s="12" t="s">
        <v>1599</v>
      </c>
    </row>
    <row r="70" spans="1:6" ht="25.5">
      <c r="A70" s="10" t="str">
        <f>HYPERLINK(SUBSTITUTE(T(hl_0),"{0}","900331903592348"),hn_0)</f>
        <v>ОВ</v>
      </c>
      <c r="B70" s="9">
        <v>6000</v>
      </c>
      <c r="C70" s="11" t="s">
        <v>71</v>
      </c>
      <c r="D70" s="15" t="s">
        <v>72</v>
      </c>
      <c r="E70" s="11" t="s">
        <v>23</v>
      </c>
      <c r="F70" s="12" t="s">
        <v>1599</v>
      </c>
    </row>
    <row r="71" spans="1:6" ht="25.5">
      <c r="A71" s="10" t="str">
        <f>HYPERLINK(SUBSTITUTE(T(hl_0),"{0}","900331903592905"),hn_0)</f>
        <v>ОВ</v>
      </c>
      <c r="B71" s="9">
        <v>6000</v>
      </c>
      <c r="C71" s="11" t="s">
        <v>71</v>
      </c>
      <c r="D71" s="15" t="s">
        <v>72</v>
      </c>
      <c r="E71" s="11" t="s">
        <v>23</v>
      </c>
      <c r="F71" s="12" t="s">
        <v>1599</v>
      </c>
    </row>
    <row r="72" spans="1:6" ht="25.5">
      <c r="A72" s="10" t="str">
        <f>HYPERLINK(SUBSTITUTE(T(hl_0),"{0}","900331903304089"),hn_0)</f>
        <v>ОВ</v>
      </c>
      <c r="B72" s="9">
        <v>6000</v>
      </c>
      <c r="C72" s="11" t="s">
        <v>71</v>
      </c>
      <c r="D72" s="15" t="s">
        <v>72</v>
      </c>
      <c r="E72" s="11" t="s">
        <v>38</v>
      </c>
      <c r="F72" s="12" t="s">
        <v>1599</v>
      </c>
    </row>
    <row r="73" spans="1:6" ht="25.5">
      <c r="A73" s="10" t="str">
        <f>HYPERLINK(SUBSTITUTE(T(hl_0),"{0}","900331903304095"),hn_0)</f>
        <v>ОВ</v>
      </c>
      <c r="B73" s="9">
        <v>6000</v>
      </c>
      <c r="C73" s="11" t="s">
        <v>71</v>
      </c>
      <c r="D73" s="15" t="s">
        <v>72</v>
      </c>
      <c r="E73" s="11" t="s">
        <v>38</v>
      </c>
      <c r="F73" s="12" t="s">
        <v>1599</v>
      </c>
    </row>
    <row r="74" spans="1:6" ht="25.5">
      <c r="A74" s="10" t="str">
        <f>HYPERLINK(SUBSTITUTE(T(hl_0),"{0}","320332053362448"),hn_0)</f>
        <v>ОВ</v>
      </c>
      <c r="B74" s="9">
        <v>4800</v>
      </c>
      <c r="C74" s="11" t="s">
        <v>73</v>
      </c>
      <c r="D74" s="15" t="s">
        <v>1182</v>
      </c>
      <c r="E74" s="11" t="s">
        <v>74</v>
      </c>
      <c r="F74" s="12" t="s">
        <v>1599</v>
      </c>
    </row>
    <row r="75" spans="1:6" ht="38.25">
      <c r="A75" s="10" t="str">
        <f>HYPERLINK(SUBSTITUTE(T(hl_0),"{0}","320327075031558"),hn_0)</f>
        <v>ОВ</v>
      </c>
      <c r="B75" s="9">
        <v>4800</v>
      </c>
      <c r="C75" s="11" t="s">
        <v>73</v>
      </c>
      <c r="D75" s="15" t="s">
        <v>1183</v>
      </c>
      <c r="E75" s="11" t="s">
        <v>75</v>
      </c>
      <c r="F75" s="12" t="s">
        <v>1599</v>
      </c>
    </row>
    <row r="76" spans="1:6" ht="38.25">
      <c r="A76" s="10" t="str">
        <f>HYPERLINK(SUBSTITUTE(T(hl_0),"{0}","320327074974721"),hn_0)</f>
        <v>ОВ</v>
      </c>
      <c r="B76" s="9">
        <v>4800</v>
      </c>
      <c r="C76" s="11" t="s">
        <v>73</v>
      </c>
      <c r="D76" s="15" t="s">
        <v>1183</v>
      </c>
      <c r="E76" s="11" t="s">
        <v>75</v>
      </c>
      <c r="F76" s="12" t="s">
        <v>1599</v>
      </c>
    </row>
    <row r="77" spans="1:6" ht="38.25">
      <c r="A77" s="10" t="str">
        <f>HYPERLINK(SUBSTITUTE(T(hl_0),"{0}","320329941813327"),hn_0)</f>
        <v>ОВ</v>
      </c>
      <c r="B77" s="9">
        <v>4800</v>
      </c>
      <c r="C77" s="11" t="s">
        <v>73</v>
      </c>
      <c r="D77" s="15" t="s">
        <v>1184</v>
      </c>
      <c r="E77" s="11" t="s">
        <v>76</v>
      </c>
      <c r="F77" s="12" t="s">
        <v>1599</v>
      </c>
    </row>
    <row r="78" spans="1:6" ht="38.25">
      <c r="A78" s="10" t="str">
        <f>HYPERLINK(SUBSTITUTE(T(hl_0),"{0}","320329941979515"),hn_0)</f>
        <v>ОВ</v>
      </c>
      <c r="B78" s="9">
        <v>4800</v>
      </c>
      <c r="C78" s="11" t="s">
        <v>73</v>
      </c>
      <c r="D78" s="15" t="s">
        <v>1185</v>
      </c>
      <c r="E78" s="11" t="s">
        <v>77</v>
      </c>
      <c r="F78" s="12" t="s">
        <v>1599</v>
      </c>
    </row>
    <row r="79" spans="1:6" ht="12.75">
      <c r="A79" s="10" t="str">
        <f>HYPERLINK(SUBSTITUTE(T(hl_0),"{0}","900331558594326"),hn_0)</f>
        <v>ОВ</v>
      </c>
      <c r="B79" s="9">
        <v>4900</v>
      </c>
      <c r="C79" s="11" t="s">
        <v>73</v>
      </c>
      <c r="D79" s="15" t="s">
        <v>78</v>
      </c>
      <c r="E79" s="11" t="s">
        <v>79</v>
      </c>
      <c r="F79" s="12" t="s">
        <v>1599</v>
      </c>
    </row>
    <row r="80" spans="1:6" ht="25.5">
      <c r="A80" s="10" t="str">
        <f>HYPERLINK(SUBSTITUTE(T(hl_0),"{0}","900331558582559"),hn_0)</f>
        <v>ОВ</v>
      </c>
      <c r="B80" s="9">
        <v>4900</v>
      </c>
      <c r="C80" s="11" t="s">
        <v>73</v>
      </c>
      <c r="D80" s="15" t="s">
        <v>80</v>
      </c>
      <c r="E80" s="11" t="s">
        <v>79</v>
      </c>
      <c r="F80" s="12" t="s">
        <v>1599</v>
      </c>
    </row>
    <row r="81" spans="1:6" ht="38.25">
      <c r="A81" s="10" t="str">
        <f>HYPERLINK(SUBSTITUTE(T(hl_0),"{0}","900329232823627"),hn_0)</f>
        <v>ОВ</v>
      </c>
      <c r="B81" s="9">
        <v>4725</v>
      </c>
      <c r="C81" s="11" t="s">
        <v>73</v>
      </c>
      <c r="D81" s="15" t="s">
        <v>81</v>
      </c>
      <c r="E81" s="11" t="s">
        <v>61</v>
      </c>
      <c r="F81" s="12" t="s">
        <v>1599</v>
      </c>
    </row>
    <row r="82" spans="1:6" ht="38.25">
      <c r="A82" s="10" t="str">
        <f>HYPERLINK(SUBSTITUTE(T(hl_0),"{0}","900329308071488"),hn_0)</f>
        <v>ОВ</v>
      </c>
      <c r="B82" s="9">
        <v>4725</v>
      </c>
      <c r="C82" s="11" t="s">
        <v>73</v>
      </c>
      <c r="D82" s="15" t="s">
        <v>82</v>
      </c>
      <c r="E82" s="11" t="s">
        <v>83</v>
      </c>
      <c r="F82" s="12" t="s">
        <v>1599</v>
      </c>
    </row>
    <row r="83" spans="1:6" ht="38.25">
      <c r="A83" s="10" t="str">
        <f>HYPERLINK(SUBSTITUTE(T(hl_0),"{0}","900329311286758"),hn_0)</f>
        <v>ОВ</v>
      </c>
      <c r="B83" s="9">
        <v>5000</v>
      </c>
      <c r="C83" s="11" t="s">
        <v>73</v>
      </c>
      <c r="D83" s="15" t="s">
        <v>82</v>
      </c>
      <c r="E83" s="11" t="s">
        <v>74</v>
      </c>
      <c r="F83" s="12" t="s">
        <v>1599</v>
      </c>
    </row>
    <row r="84" spans="1:6" ht="38.25">
      <c r="A84" s="10" t="str">
        <f>HYPERLINK(SUBSTITUTE(T(hl_0),"{0}","900329311322179"),hn_0)</f>
        <v>ОВ</v>
      </c>
      <c r="B84" s="9">
        <v>5000</v>
      </c>
      <c r="C84" s="11" t="s">
        <v>73</v>
      </c>
      <c r="D84" s="15" t="s">
        <v>82</v>
      </c>
      <c r="E84" s="11" t="s">
        <v>84</v>
      </c>
      <c r="F84" s="12" t="s">
        <v>1599</v>
      </c>
    </row>
    <row r="85" spans="1:6" ht="76.5">
      <c r="A85" s="10" t="str">
        <f>HYPERLINK(SUBSTITUTE(T(hl_0),"{0}","900329285999196"),hn_0)</f>
        <v>ОВ</v>
      </c>
      <c r="B85" s="9">
        <v>5000</v>
      </c>
      <c r="C85" s="11" t="s">
        <v>73</v>
      </c>
      <c r="D85" s="15" t="s">
        <v>85</v>
      </c>
      <c r="E85" s="11" t="s">
        <v>86</v>
      </c>
      <c r="F85" s="12" t="s">
        <v>1599</v>
      </c>
    </row>
    <row r="86" spans="1:6" ht="38.25">
      <c r="A86" s="10" t="str">
        <f>HYPERLINK(SUBSTITUTE(T(hl_0),"{0}","900329307702298"),hn_0)</f>
        <v>ОВ</v>
      </c>
      <c r="B86" s="9">
        <v>5000</v>
      </c>
      <c r="C86" s="11" t="s">
        <v>73</v>
      </c>
      <c r="D86" s="15" t="s">
        <v>82</v>
      </c>
      <c r="E86" s="11" t="s">
        <v>87</v>
      </c>
      <c r="F86" s="12" t="s">
        <v>1599</v>
      </c>
    </row>
    <row r="87" spans="1:6" ht="38.25">
      <c r="A87" s="10" t="str">
        <f>HYPERLINK(SUBSTITUTE(T(hl_0),"{0}","900329310815061"),hn_0)</f>
        <v>ОВ</v>
      </c>
      <c r="B87" s="9">
        <v>4725</v>
      </c>
      <c r="C87" s="11" t="s">
        <v>73</v>
      </c>
      <c r="D87" s="15" t="s">
        <v>82</v>
      </c>
      <c r="E87" s="11" t="s">
        <v>88</v>
      </c>
      <c r="F87" s="12" t="s">
        <v>1599</v>
      </c>
    </row>
    <row r="88" spans="1:6" ht="38.25">
      <c r="A88" s="10" t="str">
        <f>HYPERLINK(SUBSTITUTE(T(hl_0),"{0}","900329311196469"),hn_0)</f>
        <v>ОВ</v>
      </c>
      <c r="B88" s="9">
        <v>4725</v>
      </c>
      <c r="C88" s="11" t="s">
        <v>73</v>
      </c>
      <c r="D88" s="15" t="s">
        <v>82</v>
      </c>
      <c r="E88" s="11" t="s">
        <v>89</v>
      </c>
      <c r="F88" s="12" t="s">
        <v>1599</v>
      </c>
    </row>
    <row r="89" spans="1:6" ht="38.25">
      <c r="A89" s="10" t="str">
        <f>HYPERLINK(SUBSTITUTE(T(hl_0),"{0}","900329311941707"),hn_0)</f>
        <v>ОВ</v>
      </c>
      <c r="B89" s="9">
        <v>5000</v>
      </c>
      <c r="C89" s="11" t="s">
        <v>73</v>
      </c>
      <c r="D89" s="15" t="s">
        <v>82</v>
      </c>
      <c r="E89" s="11" t="s">
        <v>90</v>
      </c>
      <c r="F89" s="12" t="s">
        <v>1599</v>
      </c>
    </row>
    <row r="90" spans="1:6" ht="38.25">
      <c r="A90" s="10" t="str">
        <f>HYPERLINK(SUBSTITUTE(T(hl_0),"{0}","900329309082759"),hn_0)</f>
        <v>ОВ</v>
      </c>
      <c r="B90" s="9">
        <v>4725</v>
      </c>
      <c r="C90" s="11" t="s">
        <v>73</v>
      </c>
      <c r="D90" s="15" t="s">
        <v>82</v>
      </c>
      <c r="E90" s="11" t="s">
        <v>88</v>
      </c>
      <c r="F90" s="12" t="s">
        <v>1599</v>
      </c>
    </row>
    <row r="91" spans="1:6" ht="38.25">
      <c r="A91" s="10" t="str">
        <f>HYPERLINK(SUBSTITUTE(T(hl_0),"{0}","900329307948271"),hn_0)</f>
        <v>ОВ</v>
      </c>
      <c r="B91" s="9">
        <v>4725</v>
      </c>
      <c r="C91" s="11" t="s">
        <v>73</v>
      </c>
      <c r="D91" s="15" t="s">
        <v>82</v>
      </c>
      <c r="E91" s="11" t="s">
        <v>75</v>
      </c>
      <c r="F91" s="12" t="s">
        <v>1599</v>
      </c>
    </row>
    <row r="92" spans="1:6" ht="38.25">
      <c r="A92" s="10" t="str">
        <f>HYPERLINK(SUBSTITUTE(T(hl_0),"{0}","900329310848206"),hn_0)</f>
        <v>ОВ</v>
      </c>
      <c r="B92" s="9">
        <v>5000</v>
      </c>
      <c r="C92" s="11" t="s">
        <v>73</v>
      </c>
      <c r="D92" s="15" t="s">
        <v>82</v>
      </c>
      <c r="E92" s="11" t="s">
        <v>88</v>
      </c>
      <c r="F92" s="12" t="s">
        <v>1599</v>
      </c>
    </row>
    <row r="93" spans="1:6" ht="38.25">
      <c r="A93" s="10" t="str">
        <f>HYPERLINK(SUBSTITUTE(T(hl_0),"{0}","900329308079511"),hn_0)</f>
        <v>ОВ</v>
      </c>
      <c r="B93" s="9">
        <v>4725</v>
      </c>
      <c r="C93" s="11" t="s">
        <v>73</v>
      </c>
      <c r="D93" s="15" t="s">
        <v>82</v>
      </c>
      <c r="E93" s="11" t="s">
        <v>91</v>
      </c>
      <c r="F93" s="12" t="s">
        <v>1599</v>
      </c>
    </row>
    <row r="94" spans="1:6" ht="38.25">
      <c r="A94" s="10" t="str">
        <f>HYPERLINK(SUBSTITUTE(T(hl_0),"{0}","900329422836925"),hn_0)</f>
        <v>ОВ</v>
      </c>
      <c r="B94" s="9">
        <v>4725</v>
      </c>
      <c r="C94" s="11" t="s">
        <v>73</v>
      </c>
      <c r="D94" s="15" t="s">
        <v>92</v>
      </c>
      <c r="E94" s="11" t="s">
        <v>93</v>
      </c>
      <c r="F94" s="12" t="s">
        <v>1599</v>
      </c>
    </row>
    <row r="95" spans="1:6" ht="38.25">
      <c r="A95" s="10" t="str">
        <f>HYPERLINK(SUBSTITUTE(T(hl_0),"{0}","900329307897145"),hn_0)</f>
        <v>ОВ</v>
      </c>
      <c r="B95" s="9">
        <v>4725</v>
      </c>
      <c r="C95" s="11" t="s">
        <v>73</v>
      </c>
      <c r="D95" s="15" t="s">
        <v>82</v>
      </c>
      <c r="E95" s="11" t="s">
        <v>94</v>
      </c>
      <c r="F95" s="12" t="s">
        <v>1599</v>
      </c>
    </row>
    <row r="96" spans="1:6" ht="38.25">
      <c r="A96" s="10" t="str">
        <f>HYPERLINK(SUBSTITUTE(T(hl_0),"{0}","900329311223579"),hn_0)</f>
        <v>ОВ</v>
      </c>
      <c r="B96" s="9">
        <v>5000</v>
      </c>
      <c r="C96" s="11" t="s">
        <v>73</v>
      </c>
      <c r="D96" s="15" t="s">
        <v>82</v>
      </c>
      <c r="E96" s="11" t="s">
        <v>95</v>
      </c>
      <c r="F96" s="12" t="s">
        <v>1599</v>
      </c>
    </row>
    <row r="97" spans="1:6" ht="51">
      <c r="A97" s="10" t="str">
        <f>HYPERLINK(SUBSTITUTE(T(hl_0),"{0}","900329423049057"),hn_0)</f>
        <v>ОВ</v>
      </c>
      <c r="B97" s="9">
        <v>5000</v>
      </c>
      <c r="C97" s="11" t="s">
        <v>73</v>
      </c>
      <c r="D97" s="15" t="s">
        <v>96</v>
      </c>
      <c r="E97" s="11" t="s">
        <v>97</v>
      </c>
      <c r="F97" s="12" t="s">
        <v>1599</v>
      </c>
    </row>
    <row r="98" spans="1:6" ht="38.25">
      <c r="A98" s="10" t="str">
        <f>HYPERLINK(SUBSTITUTE(T(hl_0),"{0}","900329311254774"),hn_0)</f>
        <v>ОВ</v>
      </c>
      <c r="B98" s="9">
        <v>5000</v>
      </c>
      <c r="C98" s="11" t="s">
        <v>73</v>
      </c>
      <c r="D98" s="15" t="s">
        <v>82</v>
      </c>
      <c r="E98" s="11" t="s">
        <v>74</v>
      </c>
      <c r="F98" s="12" t="s">
        <v>1599</v>
      </c>
    </row>
    <row r="99" spans="1:6" ht="38.25">
      <c r="A99" s="10" t="str">
        <f>HYPERLINK(SUBSTITUTE(T(hl_0),"{0}","900329311184408"),hn_0)</f>
        <v>ОВ</v>
      </c>
      <c r="B99" s="9">
        <v>5000</v>
      </c>
      <c r="C99" s="11" t="s">
        <v>73</v>
      </c>
      <c r="D99" s="15" t="s">
        <v>82</v>
      </c>
      <c r="E99" s="11" t="s">
        <v>89</v>
      </c>
      <c r="F99" s="12" t="s">
        <v>1599</v>
      </c>
    </row>
    <row r="100" spans="1:6" ht="38.25">
      <c r="A100" s="10" t="str">
        <f>HYPERLINK(SUBSTITUTE(T(hl_0),"{0}","900329445260893"),hn_0)</f>
        <v>ОВ</v>
      </c>
      <c r="B100" s="9">
        <v>4725</v>
      </c>
      <c r="C100" s="11" t="s">
        <v>73</v>
      </c>
      <c r="D100" s="15" t="s">
        <v>98</v>
      </c>
      <c r="E100" s="11" t="s">
        <v>99</v>
      </c>
      <c r="F100" s="12" t="s">
        <v>1599</v>
      </c>
    </row>
    <row r="101" spans="1:6" ht="38.25">
      <c r="A101" s="10" t="str">
        <f>HYPERLINK(SUBSTITUTE(T(hl_0),"{0}","900329422770673"),hn_0)</f>
        <v>ОВ</v>
      </c>
      <c r="B101" s="9">
        <v>4725</v>
      </c>
      <c r="C101" s="11" t="s">
        <v>73</v>
      </c>
      <c r="D101" s="15" t="s">
        <v>100</v>
      </c>
      <c r="E101" s="11" t="s">
        <v>101</v>
      </c>
      <c r="F101" s="12" t="s">
        <v>1599</v>
      </c>
    </row>
    <row r="102" spans="1:6" ht="38.25">
      <c r="A102" s="10" t="str">
        <f>HYPERLINK(SUBSTITUTE(T(hl_0),"{0}","900329311299102"),hn_0)</f>
        <v>ОВ</v>
      </c>
      <c r="B102" s="9">
        <v>5000</v>
      </c>
      <c r="C102" s="11" t="s">
        <v>73</v>
      </c>
      <c r="D102" s="15" t="s">
        <v>82</v>
      </c>
      <c r="E102" s="11" t="s">
        <v>102</v>
      </c>
      <c r="F102" s="12" t="s">
        <v>1599</v>
      </c>
    </row>
    <row r="103" spans="1:6" ht="76.5">
      <c r="A103" s="10" t="str">
        <f>HYPERLINK(SUBSTITUTE(T(hl_0),"{0}","900329285913986"),hn_0)</f>
        <v>ОВ</v>
      </c>
      <c r="B103" s="9">
        <v>5000</v>
      </c>
      <c r="C103" s="11" t="s">
        <v>73</v>
      </c>
      <c r="D103" s="15" t="s">
        <v>103</v>
      </c>
      <c r="E103" s="11" t="s">
        <v>104</v>
      </c>
      <c r="F103" s="12" t="s">
        <v>1599</v>
      </c>
    </row>
    <row r="104" spans="1:6" ht="38.25">
      <c r="A104" s="10" t="str">
        <f>HYPERLINK(SUBSTITUTE(T(hl_0),"{0}","900329311756497"),hn_0)</f>
        <v>ОВ</v>
      </c>
      <c r="B104" s="9">
        <v>4725</v>
      </c>
      <c r="C104" s="11" t="s">
        <v>73</v>
      </c>
      <c r="D104" s="15" t="s">
        <v>82</v>
      </c>
      <c r="E104" s="11" t="s">
        <v>105</v>
      </c>
      <c r="F104" s="12" t="s">
        <v>1599</v>
      </c>
    </row>
    <row r="105" spans="1:6" ht="38.25">
      <c r="A105" s="10" t="str">
        <f>HYPERLINK(SUBSTITUTE(T(hl_0),"{0}","900329307878572"),hn_0)</f>
        <v>ОВ</v>
      </c>
      <c r="B105" s="9">
        <v>4725</v>
      </c>
      <c r="C105" s="11" t="s">
        <v>73</v>
      </c>
      <c r="D105" s="15" t="s">
        <v>82</v>
      </c>
      <c r="E105" s="11" t="s">
        <v>94</v>
      </c>
      <c r="F105" s="12" t="s">
        <v>1599</v>
      </c>
    </row>
    <row r="106" spans="1:6" ht="38.25">
      <c r="A106" s="10" t="str">
        <f>HYPERLINK(SUBSTITUTE(T(hl_0),"{0}","900329311219127"),hn_0)</f>
        <v>ОВ</v>
      </c>
      <c r="B106" s="9">
        <v>4725</v>
      </c>
      <c r="C106" s="11" t="s">
        <v>73</v>
      </c>
      <c r="D106" s="15" t="s">
        <v>82</v>
      </c>
      <c r="E106" s="11" t="s">
        <v>89</v>
      </c>
      <c r="F106" s="12" t="s">
        <v>1599</v>
      </c>
    </row>
    <row r="107" spans="1:6" ht="38.25">
      <c r="A107" s="10" t="str">
        <f>HYPERLINK(SUBSTITUTE(T(hl_0),"{0}","900329232868657"),hn_0)</f>
        <v>ОВ</v>
      </c>
      <c r="B107" s="9">
        <v>4725</v>
      </c>
      <c r="C107" s="11" t="s">
        <v>73</v>
      </c>
      <c r="D107" s="15" t="s">
        <v>81</v>
      </c>
      <c r="E107" s="11" t="s">
        <v>37</v>
      </c>
      <c r="F107" s="12" t="s">
        <v>1599</v>
      </c>
    </row>
    <row r="108" spans="1:6" ht="38.25">
      <c r="A108" s="10" t="str">
        <f>HYPERLINK(SUBSTITUTE(T(hl_0),"{0}","900329285932186"),hn_0)</f>
        <v>ОВ</v>
      </c>
      <c r="B108" s="9">
        <v>4725</v>
      </c>
      <c r="C108" s="11" t="s">
        <v>73</v>
      </c>
      <c r="D108" s="15" t="s">
        <v>106</v>
      </c>
      <c r="E108" s="11" t="s">
        <v>107</v>
      </c>
      <c r="F108" s="12" t="s">
        <v>1599</v>
      </c>
    </row>
    <row r="109" spans="1:6" ht="38.25">
      <c r="A109" s="10" t="str">
        <f>HYPERLINK(SUBSTITUTE(T(hl_0),"{0}","900329307901941"),hn_0)</f>
        <v>ОВ</v>
      </c>
      <c r="B109" s="9">
        <v>4725</v>
      </c>
      <c r="C109" s="11" t="s">
        <v>73</v>
      </c>
      <c r="D109" s="15" t="s">
        <v>82</v>
      </c>
      <c r="E109" s="11" t="s">
        <v>94</v>
      </c>
      <c r="F109" s="12" t="s">
        <v>1599</v>
      </c>
    </row>
    <row r="110" spans="1:6" ht="38.25">
      <c r="A110" s="10" t="str">
        <f>HYPERLINK(SUBSTITUTE(T(hl_0),"{0}","900329311156590"),hn_0)</f>
        <v>ОВ</v>
      </c>
      <c r="B110" s="9">
        <v>5000</v>
      </c>
      <c r="C110" s="11" t="s">
        <v>73</v>
      </c>
      <c r="D110" s="15" t="s">
        <v>82</v>
      </c>
      <c r="E110" s="11" t="s">
        <v>89</v>
      </c>
      <c r="F110" s="12" t="s">
        <v>1599</v>
      </c>
    </row>
    <row r="111" spans="1:6" ht="38.25">
      <c r="A111" s="10" t="str">
        <f>HYPERLINK(SUBSTITUTE(T(hl_0),"{0}","900329308006802"),hn_0)</f>
        <v>ОВ</v>
      </c>
      <c r="B111" s="9">
        <v>5000</v>
      </c>
      <c r="C111" s="11" t="s">
        <v>73</v>
      </c>
      <c r="D111" s="15" t="s">
        <v>82</v>
      </c>
      <c r="E111" s="11" t="s">
        <v>108</v>
      </c>
      <c r="F111" s="12" t="s">
        <v>1599</v>
      </c>
    </row>
    <row r="112" spans="1:6" ht="38.25">
      <c r="A112" s="10" t="str">
        <f>HYPERLINK(SUBSTITUTE(T(hl_0),"{0}","900329310974343"),hn_0)</f>
        <v>ОВ</v>
      </c>
      <c r="B112" s="9">
        <v>5000</v>
      </c>
      <c r="C112" s="11" t="s">
        <v>73</v>
      </c>
      <c r="D112" s="15" t="s">
        <v>82</v>
      </c>
      <c r="E112" s="11" t="s">
        <v>74</v>
      </c>
      <c r="F112" s="12" t="s">
        <v>1599</v>
      </c>
    </row>
    <row r="113" spans="1:6" ht="38.25">
      <c r="A113" s="10" t="str">
        <f>HYPERLINK(SUBSTITUTE(T(hl_0),"{0}","900329445103375"),hn_0)</f>
        <v>ОВ</v>
      </c>
      <c r="B113" s="9">
        <v>4725</v>
      </c>
      <c r="C113" s="11" t="s">
        <v>73</v>
      </c>
      <c r="D113" s="15" t="s">
        <v>109</v>
      </c>
      <c r="E113" s="11" t="s">
        <v>110</v>
      </c>
      <c r="F113" s="12" t="s">
        <v>1599</v>
      </c>
    </row>
    <row r="114" spans="1:6" ht="38.25">
      <c r="A114" s="10" t="str">
        <f>HYPERLINK(SUBSTITUTE(T(hl_0),"{0}","900329311266398"),hn_0)</f>
        <v>ОВ</v>
      </c>
      <c r="B114" s="9">
        <v>5000</v>
      </c>
      <c r="C114" s="11" t="s">
        <v>73</v>
      </c>
      <c r="D114" s="15" t="s">
        <v>82</v>
      </c>
      <c r="E114" s="11" t="s">
        <v>111</v>
      </c>
      <c r="F114" s="12" t="s">
        <v>1599</v>
      </c>
    </row>
    <row r="115" spans="1:6" ht="38.25">
      <c r="A115" s="10" t="str">
        <f>HYPERLINK(SUBSTITUTE(T(hl_0),"{0}","900329307740420"),hn_0)</f>
        <v>ОВ</v>
      </c>
      <c r="B115" s="9">
        <v>5000</v>
      </c>
      <c r="C115" s="11" t="s">
        <v>73</v>
      </c>
      <c r="D115" s="15" t="s">
        <v>82</v>
      </c>
      <c r="E115" s="11" t="s">
        <v>112</v>
      </c>
      <c r="F115" s="12" t="s">
        <v>1599</v>
      </c>
    </row>
    <row r="116" spans="1:6" ht="38.25">
      <c r="A116" s="10" t="str">
        <f>HYPERLINK(SUBSTITUTE(T(hl_0),"{0}","900329307671195"),hn_0)</f>
        <v>ОВ</v>
      </c>
      <c r="B116" s="9">
        <v>5000</v>
      </c>
      <c r="C116" s="11" t="s">
        <v>73</v>
      </c>
      <c r="D116" s="15" t="s">
        <v>82</v>
      </c>
      <c r="E116" s="11" t="s">
        <v>87</v>
      </c>
      <c r="F116" s="12" t="s">
        <v>1599</v>
      </c>
    </row>
    <row r="117" spans="1:6" ht="38.25">
      <c r="A117" s="10" t="str">
        <f>HYPERLINK(SUBSTITUTE(T(hl_0),"{0}","900329311898057"),hn_0)</f>
        <v>ОВ</v>
      </c>
      <c r="B117" s="9">
        <v>5000</v>
      </c>
      <c r="C117" s="11" t="s">
        <v>73</v>
      </c>
      <c r="D117" s="15" t="s">
        <v>82</v>
      </c>
      <c r="E117" s="11" t="s">
        <v>113</v>
      </c>
      <c r="F117" s="12" t="s">
        <v>1599</v>
      </c>
    </row>
    <row r="118" spans="1:6" ht="38.25">
      <c r="A118" s="10" t="str">
        <f>HYPERLINK(SUBSTITUTE(T(hl_0),"{0}","900329307917724"),hn_0)</f>
        <v>ОВ</v>
      </c>
      <c r="B118" s="9">
        <v>5000</v>
      </c>
      <c r="C118" s="11" t="s">
        <v>73</v>
      </c>
      <c r="D118" s="15" t="s">
        <v>82</v>
      </c>
      <c r="E118" s="11" t="s">
        <v>75</v>
      </c>
      <c r="F118" s="12" t="s">
        <v>1599</v>
      </c>
    </row>
    <row r="119" spans="1:6" ht="38.25">
      <c r="A119" s="10" t="str">
        <f>HYPERLINK(SUBSTITUTE(T(hl_0),"{0}","900329310839996"),hn_0)</f>
        <v>ОВ</v>
      </c>
      <c r="B119" s="9">
        <v>5000</v>
      </c>
      <c r="C119" s="11" t="s">
        <v>73</v>
      </c>
      <c r="D119" s="15" t="s">
        <v>82</v>
      </c>
      <c r="E119" s="11" t="s">
        <v>88</v>
      </c>
      <c r="F119" s="12" t="s">
        <v>1599</v>
      </c>
    </row>
    <row r="120" spans="1:6" ht="38.25">
      <c r="A120" s="10" t="str">
        <f>HYPERLINK(SUBSTITUTE(T(hl_0),"{0}","900329307850181"),hn_0)</f>
        <v>ОВ</v>
      </c>
      <c r="B120" s="9">
        <v>5000</v>
      </c>
      <c r="C120" s="11" t="s">
        <v>73</v>
      </c>
      <c r="D120" s="15" t="s">
        <v>82</v>
      </c>
      <c r="E120" s="11" t="s">
        <v>112</v>
      </c>
      <c r="F120" s="12" t="s">
        <v>1599</v>
      </c>
    </row>
    <row r="121" spans="1:6" ht="38.25">
      <c r="A121" s="10" t="str">
        <f>HYPERLINK(SUBSTITUTE(T(hl_0),"{0}","900329311311486"),hn_0)</f>
        <v>ОВ</v>
      </c>
      <c r="B121" s="9">
        <v>5000</v>
      </c>
      <c r="C121" s="11" t="s">
        <v>73</v>
      </c>
      <c r="D121" s="15" t="s">
        <v>82</v>
      </c>
      <c r="E121" s="11" t="s">
        <v>84</v>
      </c>
      <c r="F121" s="12" t="s">
        <v>1599</v>
      </c>
    </row>
    <row r="122" spans="1:6" ht="38.25">
      <c r="A122" s="10" t="str">
        <f>HYPERLINK(SUBSTITUTE(T(hl_0),"{0}","900329310872076"),hn_0)</f>
        <v>ОВ</v>
      </c>
      <c r="B122" s="9">
        <v>5000</v>
      </c>
      <c r="C122" s="11" t="s">
        <v>73</v>
      </c>
      <c r="D122" s="15" t="s">
        <v>82</v>
      </c>
      <c r="E122" s="11" t="s">
        <v>114</v>
      </c>
      <c r="F122" s="12" t="s">
        <v>1599</v>
      </c>
    </row>
    <row r="123" spans="1:6" ht="38.25">
      <c r="A123" s="10" t="str">
        <f>HYPERLINK(SUBSTITUTE(T(hl_0),"{0}","900329310896461"),hn_0)</f>
        <v>ОВ</v>
      </c>
      <c r="B123" s="9">
        <v>5000</v>
      </c>
      <c r="C123" s="11" t="s">
        <v>73</v>
      </c>
      <c r="D123" s="15" t="s">
        <v>82</v>
      </c>
      <c r="E123" s="11" t="s">
        <v>115</v>
      </c>
      <c r="F123" s="12" t="s">
        <v>1599</v>
      </c>
    </row>
    <row r="124" spans="1:6" ht="38.25">
      <c r="A124" s="10" t="str">
        <f>HYPERLINK(SUBSTITUTE(T(hl_0),"{0}","900329311508066"),hn_0)</f>
        <v>ОВ</v>
      </c>
      <c r="B124" s="9">
        <v>4725</v>
      </c>
      <c r="C124" s="11" t="s">
        <v>73</v>
      </c>
      <c r="D124" s="15" t="s">
        <v>82</v>
      </c>
      <c r="E124" s="11" t="s">
        <v>116</v>
      </c>
      <c r="F124" s="12" t="s">
        <v>1599</v>
      </c>
    </row>
    <row r="125" spans="1:6" ht="76.5">
      <c r="A125" s="10" t="str">
        <f>HYPERLINK(SUBSTITUTE(T(hl_0),"{0}","900327598538890"),hn_0)</f>
        <v>ОВ</v>
      </c>
      <c r="B125" s="9">
        <v>5000</v>
      </c>
      <c r="C125" s="11" t="s">
        <v>73</v>
      </c>
      <c r="D125" s="15" t="s">
        <v>117</v>
      </c>
      <c r="E125" s="11" t="s">
        <v>94</v>
      </c>
      <c r="F125" s="12" t="s">
        <v>1599</v>
      </c>
    </row>
    <row r="126" spans="1:6" ht="76.5">
      <c r="A126" s="10" t="str">
        <f>HYPERLINK(SUBSTITUTE(T(hl_0),"{0}","900327598210488"),hn_0)</f>
        <v>ОВ</v>
      </c>
      <c r="B126" s="9">
        <v>4725</v>
      </c>
      <c r="C126" s="11" t="s">
        <v>73</v>
      </c>
      <c r="D126" s="15" t="s">
        <v>117</v>
      </c>
      <c r="E126" s="11" t="s">
        <v>83</v>
      </c>
      <c r="F126" s="12" t="s">
        <v>1599</v>
      </c>
    </row>
    <row r="127" spans="1:6" ht="38.25">
      <c r="A127" s="10" t="str">
        <f>HYPERLINK(SUBSTITUTE(T(hl_0),"{0}","900327619801235"),hn_0)</f>
        <v>ОВ</v>
      </c>
      <c r="B127" s="9">
        <v>4725</v>
      </c>
      <c r="C127" s="11" t="s">
        <v>73</v>
      </c>
      <c r="D127" s="15" t="s">
        <v>118</v>
      </c>
      <c r="E127" s="11" t="s">
        <v>119</v>
      </c>
      <c r="F127" s="12" t="s">
        <v>1599</v>
      </c>
    </row>
    <row r="128" spans="1:6" ht="76.5">
      <c r="A128" s="10" t="str">
        <f>HYPERLINK(SUBSTITUTE(T(hl_0),"{0}","900327598156369"),hn_0)</f>
        <v>ОВ</v>
      </c>
      <c r="B128" s="9">
        <v>4725</v>
      </c>
      <c r="C128" s="11" t="s">
        <v>73</v>
      </c>
      <c r="D128" s="15" t="s">
        <v>117</v>
      </c>
      <c r="E128" s="11" t="s">
        <v>75</v>
      </c>
      <c r="F128" s="12" t="s">
        <v>1599</v>
      </c>
    </row>
    <row r="129" spans="1:6" ht="51">
      <c r="A129" s="10" t="str">
        <f>HYPERLINK(SUBSTITUTE(T(hl_0),"{0}","900327361761120"),hn_0)</f>
        <v>ОВ</v>
      </c>
      <c r="B129" s="9">
        <v>5000</v>
      </c>
      <c r="C129" s="11" t="s">
        <v>73</v>
      </c>
      <c r="D129" s="15" t="s">
        <v>120</v>
      </c>
      <c r="E129" s="11" t="s">
        <v>121</v>
      </c>
      <c r="F129" s="12" t="s">
        <v>1599</v>
      </c>
    </row>
    <row r="130" spans="1:6" ht="76.5">
      <c r="A130" s="10" t="str">
        <f>HYPERLINK(SUBSTITUTE(T(hl_0),"{0}","900327598375553"),hn_0)</f>
        <v>ОВ</v>
      </c>
      <c r="B130" s="9">
        <v>5000</v>
      </c>
      <c r="C130" s="11" t="s">
        <v>73</v>
      </c>
      <c r="D130" s="15" t="s">
        <v>117</v>
      </c>
      <c r="E130" s="11" t="s">
        <v>122</v>
      </c>
      <c r="F130" s="12" t="s">
        <v>1599</v>
      </c>
    </row>
    <row r="131" spans="1:6" ht="51">
      <c r="A131" s="10" t="str">
        <f>HYPERLINK(SUBSTITUTE(T(hl_0),"{0}","900327535274845"),hn_0)</f>
        <v>ОВ</v>
      </c>
      <c r="B131" s="9">
        <v>4725</v>
      </c>
      <c r="C131" s="11" t="s">
        <v>73</v>
      </c>
      <c r="D131" s="15" t="s">
        <v>123</v>
      </c>
      <c r="E131" s="11" t="s">
        <v>124</v>
      </c>
      <c r="F131" s="12" t="s">
        <v>1599</v>
      </c>
    </row>
    <row r="132" spans="1:6" ht="63.75">
      <c r="A132" s="10" t="str">
        <f>HYPERLINK(SUBSTITUTE(T(hl_0),"{0}","900327513193260"),hn_0)</f>
        <v>ОВ</v>
      </c>
      <c r="B132" s="9">
        <v>5000</v>
      </c>
      <c r="C132" s="11" t="s">
        <v>73</v>
      </c>
      <c r="D132" s="15" t="s">
        <v>125</v>
      </c>
      <c r="E132" s="11" t="s">
        <v>126</v>
      </c>
      <c r="F132" s="12" t="s">
        <v>1599</v>
      </c>
    </row>
    <row r="133" spans="1:6" ht="63.75">
      <c r="A133" s="10" t="str">
        <f>HYPERLINK(SUBSTITUTE(T(hl_0),"{0}","900327513119624"),hn_0)</f>
        <v>ОВ</v>
      </c>
      <c r="B133" s="9">
        <v>4725</v>
      </c>
      <c r="C133" s="11" t="s">
        <v>73</v>
      </c>
      <c r="D133" s="15" t="s">
        <v>125</v>
      </c>
      <c r="E133" s="11" t="s">
        <v>127</v>
      </c>
      <c r="F133" s="12" t="s">
        <v>1599</v>
      </c>
    </row>
    <row r="134" spans="1:6" ht="63.75">
      <c r="A134" s="10" t="str">
        <f>HYPERLINK(SUBSTITUTE(T(hl_0),"{0}","900327513134837"),hn_0)</f>
        <v>ОВ</v>
      </c>
      <c r="B134" s="9">
        <v>4725</v>
      </c>
      <c r="C134" s="11" t="s">
        <v>73</v>
      </c>
      <c r="D134" s="15" t="s">
        <v>125</v>
      </c>
      <c r="E134" s="11" t="s">
        <v>127</v>
      </c>
      <c r="F134" s="12" t="s">
        <v>1599</v>
      </c>
    </row>
    <row r="135" spans="1:6" ht="76.5">
      <c r="A135" s="10" t="str">
        <f>HYPERLINK(SUBSTITUTE(T(hl_0),"{0}","900327597665550"),hn_0)</f>
        <v>ОВ</v>
      </c>
      <c r="B135" s="9">
        <v>4725</v>
      </c>
      <c r="C135" s="11" t="s">
        <v>73</v>
      </c>
      <c r="D135" s="15" t="s">
        <v>117</v>
      </c>
      <c r="E135" s="11" t="s">
        <v>128</v>
      </c>
      <c r="F135" s="12" t="s">
        <v>1599</v>
      </c>
    </row>
    <row r="136" spans="1:6" ht="76.5">
      <c r="A136" s="10" t="str">
        <f>HYPERLINK(SUBSTITUTE(T(hl_0),"{0}","900327597768468"),hn_0)</f>
        <v>ОВ</v>
      </c>
      <c r="B136" s="9">
        <v>4725</v>
      </c>
      <c r="C136" s="11" t="s">
        <v>73</v>
      </c>
      <c r="D136" s="15" t="s">
        <v>117</v>
      </c>
      <c r="E136" s="11" t="s">
        <v>129</v>
      </c>
      <c r="F136" s="12" t="s">
        <v>1599</v>
      </c>
    </row>
    <row r="137" spans="1:6" ht="51">
      <c r="A137" s="10" t="str">
        <f>HYPERLINK(SUBSTITUTE(T(hl_0),"{0}","900327359635331"),hn_0)</f>
        <v>ОВ</v>
      </c>
      <c r="B137" s="9">
        <v>5000</v>
      </c>
      <c r="C137" s="11" t="s">
        <v>73</v>
      </c>
      <c r="D137" s="15" t="s">
        <v>120</v>
      </c>
      <c r="E137" s="11" t="s">
        <v>130</v>
      </c>
      <c r="F137" s="12" t="s">
        <v>1599</v>
      </c>
    </row>
    <row r="138" spans="1:6" ht="63.75">
      <c r="A138" s="10" t="str">
        <f>HYPERLINK(SUBSTITUTE(T(hl_0),"{0}","900327513149472"),hn_0)</f>
        <v>ОВ</v>
      </c>
      <c r="B138" s="9">
        <v>5000</v>
      </c>
      <c r="C138" s="11" t="s">
        <v>73</v>
      </c>
      <c r="D138" s="15" t="s">
        <v>125</v>
      </c>
      <c r="E138" s="11" t="s">
        <v>127</v>
      </c>
      <c r="F138" s="12" t="s">
        <v>1599</v>
      </c>
    </row>
    <row r="139" spans="1:6" ht="63.75">
      <c r="A139" s="10" t="str">
        <f>HYPERLINK(SUBSTITUTE(T(hl_0),"{0}","900327467540258"),hn_0)</f>
        <v>ОВ</v>
      </c>
      <c r="B139" s="9">
        <v>5000</v>
      </c>
      <c r="C139" s="11" t="s">
        <v>73</v>
      </c>
      <c r="D139" s="15" t="s">
        <v>131</v>
      </c>
      <c r="E139" s="11" t="s">
        <v>114</v>
      </c>
      <c r="F139" s="12" t="s">
        <v>1599</v>
      </c>
    </row>
    <row r="140" spans="1:6" ht="76.5">
      <c r="A140" s="10" t="str">
        <f>HYPERLINK(SUBSTITUTE(T(hl_0),"{0}","900327597927443"),hn_0)</f>
        <v>ОВ</v>
      </c>
      <c r="B140" s="9">
        <v>4725</v>
      </c>
      <c r="C140" s="11" t="s">
        <v>73</v>
      </c>
      <c r="D140" s="15" t="s">
        <v>117</v>
      </c>
      <c r="E140" s="11" t="s">
        <v>132</v>
      </c>
      <c r="F140" s="12" t="s">
        <v>1599</v>
      </c>
    </row>
    <row r="141" spans="1:6" ht="76.5">
      <c r="A141" s="10" t="str">
        <f>HYPERLINK(SUBSTITUTE(T(hl_0),"{0}","900327597945421"),hn_0)</f>
        <v>ОВ</v>
      </c>
      <c r="B141" s="9">
        <v>4725</v>
      </c>
      <c r="C141" s="11" t="s">
        <v>73</v>
      </c>
      <c r="D141" s="15" t="s">
        <v>117</v>
      </c>
      <c r="E141" s="11" t="s">
        <v>112</v>
      </c>
      <c r="F141" s="12" t="s">
        <v>1599</v>
      </c>
    </row>
    <row r="142" spans="1:6" ht="63.75">
      <c r="A142" s="10" t="str">
        <f>HYPERLINK(SUBSTITUTE(T(hl_0),"{0}","900327513461858"),hn_0)</f>
        <v>ОВ</v>
      </c>
      <c r="B142" s="9">
        <v>4725</v>
      </c>
      <c r="C142" s="11" t="s">
        <v>73</v>
      </c>
      <c r="D142" s="15" t="s">
        <v>125</v>
      </c>
      <c r="E142" s="11" t="s">
        <v>133</v>
      </c>
      <c r="F142" s="12" t="s">
        <v>1599</v>
      </c>
    </row>
    <row r="143" spans="1:6" ht="76.5">
      <c r="A143" s="10" t="str">
        <f>HYPERLINK(SUBSTITUTE(T(hl_0),"{0}","900327598186654"),hn_0)</f>
        <v>ОВ</v>
      </c>
      <c r="B143" s="9">
        <v>4725</v>
      </c>
      <c r="C143" s="11" t="s">
        <v>73</v>
      </c>
      <c r="D143" s="15" t="s">
        <v>117</v>
      </c>
      <c r="E143" s="11" t="s">
        <v>83</v>
      </c>
      <c r="F143" s="12" t="s">
        <v>1599</v>
      </c>
    </row>
    <row r="144" spans="1:6" ht="63.75">
      <c r="A144" s="10" t="str">
        <f>HYPERLINK(SUBSTITUTE(T(hl_0),"{0}","900327467919779"),hn_0)</f>
        <v>ОВ</v>
      </c>
      <c r="B144" s="9">
        <v>4725</v>
      </c>
      <c r="C144" s="11" t="s">
        <v>73</v>
      </c>
      <c r="D144" s="15" t="s">
        <v>131</v>
      </c>
      <c r="E144" s="11" t="s">
        <v>134</v>
      </c>
      <c r="F144" s="12" t="s">
        <v>1599</v>
      </c>
    </row>
    <row r="145" spans="1:6" ht="63.75">
      <c r="A145" s="10" t="str">
        <f>HYPERLINK(SUBSTITUTE(T(hl_0),"{0}","900327467927006"),hn_0)</f>
        <v>ОВ</v>
      </c>
      <c r="B145" s="9">
        <v>4725</v>
      </c>
      <c r="C145" s="11" t="s">
        <v>73</v>
      </c>
      <c r="D145" s="15" t="s">
        <v>131</v>
      </c>
      <c r="E145" s="11" t="s">
        <v>134</v>
      </c>
      <c r="F145" s="12" t="s">
        <v>1599</v>
      </c>
    </row>
    <row r="146" spans="1:6" ht="51">
      <c r="A146" s="10" t="str">
        <f>HYPERLINK(SUBSTITUTE(T(hl_0),"{0}","900327361868360"),hn_0)</f>
        <v>ОВ</v>
      </c>
      <c r="B146" s="9">
        <v>4725</v>
      </c>
      <c r="C146" s="11" t="s">
        <v>73</v>
      </c>
      <c r="D146" s="15" t="s">
        <v>120</v>
      </c>
      <c r="E146" s="11" t="s">
        <v>93</v>
      </c>
      <c r="F146" s="12" t="s">
        <v>1599</v>
      </c>
    </row>
    <row r="147" spans="1:6" ht="51">
      <c r="A147" s="10" t="str">
        <f>HYPERLINK(SUBSTITUTE(T(hl_0),"{0}","900327486635858"),hn_0)</f>
        <v>ОВ</v>
      </c>
      <c r="B147" s="9">
        <v>4725</v>
      </c>
      <c r="C147" s="11" t="s">
        <v>73</v>
      </c>
      <c r="D147" s="15" t="s">
        <v>135</v>
      </c>
      <c r="E147" s="11" t="s">
        <v>136</v>
      </c>
      <c r="F147" s="12" t="s">
        <v>1599</v>
      </c>
    </row>
    <row r="148" spans="1:6" ht="51">
      <c r="A148" s="10" t="str">
        <f>HYPERLINK(SUBSTITUTE(T(hl_0),"{0}","900327487277653"),hn_0)</f>
        <v>ОВ</v>
      </c>
      <c r="B148" s="9">
        <v>5000</v>
      </c>
      <c r="C148" s="11" t="s">
        <v>73</v>
      </c>
      <c r="D148" s="15" t="s">
        <v>135</v>
      </c>
      <c r="E148" s="11" t="s">
        <v>137</v>
      </c>
      <c r="F148" s="12" t="s">
        <v>1599</v>
      </c>
    </row>
    <row r="149" spans="1:6" ht="51">
      <c r="A149" s="10" t="str">
        <f>HYPERLINK(SUBSTITUTE(T(hl_0),"{0}","900327487269263"),hn_0)</f>
        <v>ОВ</v>
      </c>
      <c r="B149" s="9">
        <v>5000</v>
      </c>
      <c r="C149" s="11" t="s">
        <v>73</v>
      </c>
      <c r="D149" s="15" t="s">
        <v>135</v>
      </c>
      <c r="E149" s="11" t="s">
        <v>101</v>
      </c>
      <c r="F149" s="12" t="s">
        <v>1599</v>
      </c>
    </row>
    <row r="150" spans="1:6" ht="51">
      <c r="A150" s="10" t="str">
        <f>HYPERLINK(SUBSTITUTE(T(hl_0),"{0}","900327535323427"),hn_0)</f>
        <v>ОВ</v>
      </c>
      <c r="B150" s="9">
        <v>4725</v>
      </c>
      <c r="C150" s="11" t="s">
        <v>73</v>
      </c>
      <c r="D150" s="15" t="s">
        <v>123</v>
      </c>
      <c r="E150" s="11" t="s">
        <v>138</v>
      </c>
      <c r="F150" s="12" t="s">
        <v>1599</v>
      </c>
    </row>
    <row r="151" spans="1:6" ht="76.5">
      <c r="A151" s="10" t="str">
        <f>HYPERLINK(SUBSTITUTE(T(hl_0),"{0}","900327598729330"),hn_0)</f>
        <v>ОВ</v>
      </c>
      <c r="B151" s="9">
        <v>5000</v>
      </c>
      <c r="C151" s="11" t="s">
        <v>73</v>
      </c>
      <c r="D151" s="15" t="s">
        <v>117</v>
      </c>
      <c r="E151" s="11" t="s">
        <v>91</v>
      </c>
      <c r="F151" s="12" t="s">
        <v>1599</v>
      </c>
    </row>
    <row r="152" spans="1:6" ht="51">
      <c r="A152" s="10" t="str">
        <f>HYPERLINK(SUBSTITUTE(T(hl_0),"{0}","900327536297977"),hn_0)</f>
        <v>ОВ</v>
      </c>
      <c r="B152" s="9">
        <v>5000</v>
      </c>
      <c r="C152" s="11" t="s">
        <v>73</v>
      </c>
      <c r="D152" s="15" t="s">
        <v>123</v>
      </c>
      <c r="E152" s="11" t="s">
        <v>139</v>
      </c>
      <c r="F152" s="12" t="s">
        <v>1599</v>
      </c>
    </row>
    <row r="153" spans="1:6" ht="51">
      <c r="A153" s="10" t="str">
        <f>HYPERLINK(SUBSTITUTE(T(hl_0),"{0}","900327362138295"),hn_0)</f>
        <v>ОВ</v>
      </c>
      <c r="B153" s="9">
        <v>5000</v>
      </c>
      <c r="C153" s="11" t="s">
        <v>73</v>
      </c>
      <c r="D153" s="15" t="s">
        <v>120</v>
      </c>
      <c r="E153" s="11" t="s">
        <v>93</v>
      </c>
      <c r="F153" s="12" t="s">
        <v>1599</v>
      </c>
    </row>
    <row r="154" spans="1:6" ht="51">
      <c r="A154" s="10" t="str">
        <f>HYPERLINK(SUBSTITUTE(T(hl_0),"{0}","900327360845085"),hn_0)</f>
        <v>ОВ</v>
      </c>
      <c r="B154" s="9">
        <v>4725</v>
      </c>
      <c r="C154" s="11" t="s">
        <v>73</v>
      </c>
      <c r="D154" s="15" t="s">
        <v>120</v>
      </c>
      <c r="E154" s="11" t="s">
        <v>140</v>
      </c>
      <c r="F154" s="12" t="s">
        <v>1599</v>
      </c>
    </row>
    <row r="155" spans="1:6" ht="63.75">
      <c r="A155" s="10" t="str">
        <f>HYPERLINK(SUBSTITUTE(T(hl_0),"{0}","900327513304035"),hn_0)</f>
        <v>ОВ</v>
      </c>
      <c r="B155" s="9">
        <v>5000</v>
      </c>
      <c r="C155" s="11" t="s">
        <v>73</v>
      </c>
      <c r="D155" s="15" t="s">
        <v>125</v>
      </c>
      <c r="E155" s="11" t="s">
        <v>126</v>
      </c>
      <c r="F155" s="12" t="s">
        <v>1599</v>
      </c>
    </row>
    <row r="156" spans="1:6" ht="76.5">
      <c r="A156" s="10" t="str">
        <f>HYPERLINK(SUBSTITUTE(T(hl_0),"{0}","900327598524894"),hn_0)</f>
        <v>ОВ</v>
      </c>
      <c r="B156" s="9">
        <v>5000</v>
      </c>
      <c r="C156" s="11" t="s">
        <v>73</v>
      </c>
      <c r="D156" s="15" t="s">
        <v>117</v>
      </c>
      <c r="E156" s="11" t="s">
        <v>94</v>
      </c>
      <c r="F156" s="12" t="s">
        <v>1599</v>
      </c>
    </row>
    <row r="157" spans="1:6" ht="76.5">
      <c r="A157" s="10" t="str">
        <f>HYPERLINK(SUBSTITUTE(T(hl_0),"{0}","900327597503091"),hn_0)</f>
        <v>ОВ</v>
      </c>
      <c r="B157" s="9">
        <v>5000</v>
      </c>
      <c r="C157" s="11" t="s">
        <v>73</v>
      </c>
      <c r="D157" s="15" t="s">
        <v>117</v>
      </c>
      <c r="E157" s="11" t="s">
        <v>141</v>
      </c>
      <c r="F157" s="12" t="s">
        <v>1599</v>
      </c>
    </row>
    <row r="158" spans="1:6" ht="51">
      <c r="A158" s="10" t="str">
        <f>HYPERLINK(SUBSTITUTE(T(hl_0),"{0}","900327534873805"),hn_0)</f>
        <v>ОВ</v>
      </c>
      <c r="B158" s="9">
        <v>5000</v>
      </c>
      <c r="C158" s="11" t="s">
        <v>73</v>
      </c>
      <c r="D158" s="15" t="s">
        <v>123</v>
      </c>
      <c r="E158" s="11" t="s">
        <v>142</v>
      </c>
      <c r="F158" s="12" t="s">
        <v>1599</v>
      </c>
    </row>
    <row r="159" spans="1:6" ht="51">
      <c r="A159" s="10" t="str">
        <f>HYPERLINK(SUBSTITUTE(T(hl_0),"{0}","900327535721242"),hn_0)</f>
        <v>ОВ</v>
      </c>
      <c r="B159" s="9">
        <v>5000</v>
      </c>
      <c r="C159" s="11" t="s">
        <v>73</v>
      </c>
      <c r="D159" s="15" t="s">
        <v>123</v>
      </c>
      <c r="E159" s="11" t="s">
        <v>86</v>
      </c>
      <c r="F159" s="12" t="s">
        <v>1599</v>
      </c>
    </row>
    <row r="160" spans="1:6" ht="51">
      <c r="A160" s="10" t="str">
        <f>HYPERLINK(SUBSTITUTE(T(hl_0),"{0}","900327362353037"),hn_0)</f>
        <v>ОВ</v>
      </c>
      <c r="B160" s="9">
        <v>4725</v>
      </c>
      <c r="C160" s="11" t="s">
        <v>73</v>
      </c>
      <c r="D160" s="15" t="s">
        <v>120</v>
      </c>
      <c r="E160" s="11" t="s">
        <v>143</v>
      </c>
      <c r="F160" s="12" t="s">
        <v>1599</v>
      </c>
    </row>
    <row r="161" spans="1:6" ht="51">
      <c r="A161" s="10" t="str">
        <f>HYPERLINK(SUBSTITUTE(T(hl_0),"{0}","900327534234706"),hn_0)</f>
        <v>ОВ</v>
      </c>
      <c r="B161" s="9">
        <v>5000</v>
      </c>
      <c r="C161" s="11" t="s">
        <v>73</v>
      </c>
      <c r="D161" s="15" t="s">
        <v>123</v>
      </c>
      <c r="E161" s="11" t="s">
        <v>144</v>
      </c>
      <c r="F161" s="12" t="s">
        <v>1599</v>
      </c>
    </row>
    <row r="162" spans="1:6" ht="76.5">
      <c r="A162" s="10" t="str">
        <f>HYPERLINK(SUBSTITUTE(T(hl_0),"{0}","900327598567030"),hn_0)</f>
        <v>ОВ</v>
      </c>
      <c r="B162" s="9">
        <v>5000</v>
      </c>
      <c r="C162" s="11" t="s">
        <v>73</v>
      </c>
      <c r="D162" s="15" t="s">
        <v>117</v>
      </c>
      <c r="E162" s="11" t="s">
        <v>132</v>
      </c>
      <c r="F162" s="12" t="s">
        <v>1599</v>
      </c>
    </row>
    <row r="163" spans="1:6" ht="76.5">
      <c r="A163" s="10" t="str">
        <f>HYPERLINK(SUBSTITUTE(T(hl_0),"{0}","900327595240412"),hn_0)</f>
        <v>ОВ</v>
      </c>
      <c r="B163" s="9">
        <v>5000</v>
      </c>
      <c r="C163" s="11" t="s">
        <v>73</v>
      </c>
      <c r="D163" s="15" t="s">
        <v>117</v>
      </c>
      <c r="E163" s="11" t="s">
        <v>112</v>
      </c>
      <c r="F163" s="12" t="s">
        <v>1599</v>
      </c>
    </row>
    <row r="164" spans="1:6" ht="63.75">
      <c r="A164" s="10" t="str">
        <f>HYPERLINK(SUBSTITUTE(T(hl_0),"{0}","900327513123667"),hn_0)</f>
        <v>ОВ</v>
      </c>
      <c r="B164" s="9">
        <v>4725</v>
      </c>
      <c r="C164" s="11" t="s">
        <v>73</v>
      </c>
      <c r="D164" s="15" t="s">
        <v>125</v>
      </c>
      <c r="E164" s="11" t="s">
        <v>127</v>
      </c>
      <c r="F164" s="12" t="s">
        <v>1599</v>
      </c>
    </row>
    <row r="165" spans="1:6" ht="63.75">
      <c r="A165" s="10" t="str">
        <f>HYPERLINK(SUBSTITUTE(T(hl_0),"{0}","900327513134846"),hn_0)</f>
        <v>ОВ</v>
      </c>
      <c r="B165" s="9">
        <v>4725</v>
      </c>
      <c r="C165" s="11" t="s">
        <v>73</v>
      </c>
      <c r="D165" s="15" t="s">
        <v>125</v>
      </c>
      <c r="E165" s="11" t="s">
        <v>127</v>
      </c>
      <c r="F165" s="12" t="s">
        <v>1599</v>
      </c>
    </row>
    <row r="166" spans="1:6" ht="63.75">
      <c r="A166" s="10" t="str">
        <f>HYPERLINK(SUBSTITUTE(T(hl_0),"{0}","900327513134858"),hn_0)</f>
        <v>ОВ</v>
      </c>
      <c r="B166" s="9">
        <v>4725</v>
      </c>
      <c r="C166" s="11" t="s">
        <v>73</v>
      </c>
      <c r="D166" s="15" t="s">
        <v>125</v>
      </c>
      <c r="E166" s="11" t="s">
        <v>127</v>
      </c>
      <c r="F166" s="12" t="s">
        <v>1599</v>
      </c>
    </row>
    <row r="167" spans="1:6" ht="51">
      <c r="A167" s="10" t="str">
        <f>HYPERLINK(SUBSTITUTE(T(hl_0),"{0}","900327487653460"),hn_0)</f>
        <v>ОВ</v>
      </c>
      <c r="B167" s="9">
        <v>4725</v>
      </c>
      <c r="C167" s="11" t="s">
        <v>73</v>
      </c>
      <c r="D167" s="15" t="s">
        <v>135</v>
      </c>
      <c r="E167" s="11" t="s">
        <v>114</v>
      </c>
      <c r="F167" s="12" t="s">
        <v>1599</v>
      </c>
    </row>
    <row r="168" spans="1:6" ht="51">
      <c r="A168" s="10" t="str">
        <f>HYPERLINK(SUBSTITUTE(T(hl_0),"{0}","900327488209806"),hn_0)</f>
        <v>ОВ</v>
      </c>
      <c r="B168" s="9">
        <v>5000</v>
      </c>
      <c r="C168" s="11" t="s">
        <v>73</v>
      </c>
      <c r="D168" s="15" t="s">
        <v>135</v>
      </c>
      <c r="E168" s="11" t="s">
        <v>145</v>
      </c>
      <c r="F168" s="12" t="s">
        <v>1599</v>
      </c>
    </row>
    <row r="169" spans="1:6" ht="51">
      <c r="A169" s="10" t="str">
        <f>HYPERLINK(SUBSTITUTE(T(hl_0),"{0}","900327535358691"),hn_0)</f>
        <v>ОВ</v>
      </c>
      <c r="B169" s="9">
        <v>4725</v>
      </c>
      <c r="C169" s="11" t="s">
        <v>73</v>
      </c>
      <c r="D169" s="15" t="s">
        <v>123</v>
      </c>
      <c r="E169" s="11" t="s">
        <v>87</v>
      </c>
      <c r="F169" s="12" t="s">
        <v>1599</v>
      </c>
    </row>
    <row r="170" spans="1:6" ht="51">
      <c r="A170" s="10" t="str">
        <f>HYPERLINK(SUBSTITUTE(T(hl_0),"{0}","900327362231329"),hn_0)</f>
        <v>ОВ</v>
      </c>
      <c r="B170" s="9">
        <v>5000</v>
      </c>
      <c r="C170" s="11" t="s">
        <v>73</v>
      </c>
      <c r="D170" s="15" t="s">
        <v>120</v>
      </c>
      <c r="E170" s="11" t="s">
        <v>146</v>
      </c>
      <c r="F170" s="12" t="s">
        <v>1599</v>
      </c>
    </row>
    <row r="171" spans="1:6" ht="76.5">
      <c r="A171" s="10" t="str">
        <f>HYPERLINK(SUBSTITUTE(T(hl_0),"{0}","900327597574982"),hn_0)</f>
        <v>ОВ</v>
      </c>
      <c r="B171" s="9">
        <v>5000</v>
      </c>
      <c r="C171" s="11" t="s">
        <v>73</v>
      </c>
      <c r="D171" s="15" t="s">
        <v>117</v>
      </c>
      <c r="E171" s="11" t="s">
        <v>141</v>
      </c>
      <c r="F171" s="12" t="s">
        <v>1599</v>
      </c>
    </row>
    <row r="172" spans="1:6" ht="51">
      <c r="A172" s="10" t="str">
        <f>HYPERLINK(SUBSTITUTE(T(hl_0),"{0}","900327361172857"),hn_0)</f>
        <v>ОВ</v>
      </c>
      <c r="B172" s="9">
        <v>4725</v>
      </c>
      <c r="C172" s="11" t="s">
        <v>73</v>
      </c>
      <c r="D172" s="15" t="s">
        <v>120</v>
      </c>
      <c r="E172" s="11" t="s">
        <v>147</v>
      </c>
      <c r="F172" s="12" t="s">
        <v>1599</v>
      </c>
    </row>
    <row r="173" spans="1:6" ht="76.5">
      <c r="A173" s="10" t="str">
        <f>HYPERLINK(SUBSTITUTE(T(hl_0),"{0}","900327597329983"),hn_0)</f>
        <v>ОВ</v>
      </c>
      <c r="B173" s="9">
        <v>4725</v>
      </c>
      <c r="C173" s="11" t="s">
        <v>73</v>
      </c>
      <c r="D173" s="15" t="s">
        <v>117</v>
      </c>
      <c r="E173" s="11" t="s">
        <v>148</v>
      </c>
      <c r="F173" s="12" t="s">
        <v>1599</v>
      </c>
    </row>
    <row r="174" spans="1:6" ht="51">
      <c r="A174" s="10" t="str">
        <f>HYPERLINK(SUBSTITUTE(T(hl_0),"{0}","900327359168810"),hn_0)</f>
        <v>ОВ</v>
      </c>
      <c r="B174" s="9">
        <v>5000</v>
      </c>
      <c r="C174" s="11" t="s">
        <v>73</v>
      </c>
      <c r="D174" s="15" t="s">
        <v>120</v>
      </c>
      <c r="E174" s="11" t="s">
        <v>149</v>
      </c>
      <c r="F174" s="12" t="s">
        <v>1599</v>
      </c>
    </row>
    <row r="175" spans="1:6" ht="63.75">
      <c r="A175" s="10" t="str">
        <f>HYPERLINK(SUBSTITUTE(T(hl_0),"{0}","900327468034115"),hn_0)</f>
        <v>ОВ</v>
      </c>
      <c r="B175" s="9">
        <v>4725</v>
      </c>
      <c r="C175" s="11" t="s">
        <v>73</v>
      </c>
      <c r="D175" s="15" t="s">
        <v>131</v>
      </c>
      <c r="E175" s="11" t="s">
        <v>101</v>
      </c>
      <c r="F175" s="12" t="s">
        <v>1599</v>
      </c>
    </row>
    <row r="176" spans="1:6" ht="76.5">
      <c r="A176" s="10" t="str">
        <f>HYPERLINK(SUBSTITUTE(T(hl_0),"{0}","900327598751194"),hn_0)</f>
        <v>ОВ</v>
      </c>
      <c r="B176" s="9">
        <v>5000</v>
      </c>
      <c r="C176" s="11" t="s">
        <v>73</v>
      </c>
      <c r="D176" s="15" t="s">
        <v>117</v>
      </c>
      <c r="E176" s="11" t="s">
        <v>129</v>
      </c>
      <c r="F176" s="12" t="s">
        <v>1599</v>
      </c>
    </row>
    <row r="177" spans="1:6" ht="63.75">
      <c r="A177" s="10" t="str">
        <f>HYPERLINK(SUBSTITUTE(T(hl_0),"{0}","900327467731397"),hn_0)</f>
        <v>ОВ</v>
      </c>
      <c r="B177" s="9">
        <v>5000</v>
      </c>
      <c r="C177" s="11" t="s">
        <v>73</v>
      </c>
      <c r="D177" s="15" t="s">
        <v>131</v>
      </c>
      <c r="E177" s="11" t="s">
        <v>150</v>
      </c>
      <c r="F177" s="12" t="s">
        <v>1599</v>
      </c>
    </row>
    <row r="178" spans="1:6" ht="51">
      <c r="A178" s="10" t="str">
        <f>HYPERLINK(SUBSTITUTE(T(hl_0),"{0}","900327534836656"),hn_0)</f>
        <v>ОВ</v>
      </c>
      <c r="B178" s="9">
        <v>5000</v>
      </c>
      <c r="C178" s="11" t="s">
        <v>73</v>
      </c>
      <c r="D178" s="15" t="s">
        <v>123</v>
      </c>
      <c r="E178" s="11" t="s">
        <v>142</v>
      </c>
      <c r="F178" s="12" t="s">
        <v>1599</v>
      </c>
    </row>
    <row r="179" spans="1:6" ht="51">
      <c r="A179" s="10" t="str">
        <f>HYPERLINK(SUBSTITUTE(T(hl_0),"{0}","900327361007541"),hn_0)</f>
        <v>ОВ</v>
      </c>
      <c r="B179" s="9">
        <v>4725</v>
      </c>
      <c r="C179" s="11" t="s">
        <v>73</v>
      </c>
      <c r="D179" s="15" t="s">
        <v>120</v>
      </c>
      <c r="E179" s="11" t="s">
        <v>93</v>
      </c>
      <c r="F179" s="12" t="s">
        <v>1599</v>
      </c>
    </row>
    <row r="180" spans="1:6" ht="51">
      <c r="A180" s="10" t="str">
        <f>HYPERLINK(SUBSTITUTE(T(hl_0),"{0}","900327535730573"),hn_0)</f>
        <v>ОВ</v>
      </c>
      <c r="B180" s="9">
        <v>4725</v>
      </c>
      <c r="C180" s="11" t="s">
        <v>73</v>
      </c>
      <c r="D180" s="15" t="s">
        <v>123</v>
      </c>
      <c r="E180" s="11" t="s">
        <v>151</v>
      </c>
      <c r="F180" s="12" t="s">
        <v>1599</v>
      </c>
    </row>
    <row r="181" spans="1:6" ht="63.75">
      <c r="A181" s="10" t="str">
        <f>HYPERLINK(SUBSTITUTE(T(hl_0),"{0}","900327468003959"),hn_0)</f>
        <v>ОВ</v>
      </c>
      <c r="B181" s="9">
        <v>5000</v>
      </c>
      <c r="C181" s="11" t="s">
        <v>73</v>
      </c>
      <c r="D181" s="15" t="s">
        <v>131</v>
      </c>
      <c r="E181" s="11" t="s">
        <v>152</v>
      </c>
      <c r="F181" s="12" t="s">
        <v>1599</v>
      </c>
    </row>
    <row r="182" spans="1:6" ht="63.75">
      <c r="A182" s="10" t="str">
        <f>HYPERLINK(SUBSTITUTE(T(hl_0),"{0}","900327513373404"),hn_0)</f>
        <v>ОВ</v>
      </c>
      <c r="B182" s="9">
        <v>5000</v>
      </c>
      <c r="C182" s="11" t="s">
        <v>73</v>
      </c>
      <c r="D182" s="15" t="s">
        <v>125</v>
      </c>
      <c r="E182" s="11" t="s">
        <v>126</v>
      </c>
      <c r="F182" s="12" t="s">
        <v>1599</v>
      </c>
    </row>
    <row r="183" spans="1:6" ht="51">
      <c r="A183" s="10" t="str">
        <f>HYPERLINK(SUBSTITUTE(T(hl_0),"{0}","900327359450093"),hn_0)</f>
        <v>ОВ</v>
      </c>
      <c r="B183" s="9">
        <v>5000</v>
      </c>
      <c r="C183" s="11" t="s">
        <v>73</v>
      </c>
      <c r="D183" s="15" t="s">
        <v>120</v>
      </c>
      <c r="E183" s="11" t="s">
        <v>153</v>
      </c>
      <c r="F183" s="12" t="s">
        <v>1599</v>
      </c>
    </row>
    <row r="184" spans="1:6" ht="51">
      <c r="A184" s="10" t="str">
        <f>HYPERLINK(SUBSTITUTE(T(hl_0),"{0}","900327535245900"),hn_0)</f>
        <v>ОВ</v>
      </c>
      <c r="B184" s="9">
        <v>5000</v>
      </c>
      <c r="C184" s="11" t="s">
        <v>73</v>
      </c>
      <c r="D184" s="15" t="s">
        <v>123</v>
      </c>
      <c r="E184" s="11" t="s">
        <v>154</v>
      </c>
      <c r="F184" s="12" t="s">
        <v>1599</v>
      </c>
    </row>
    <row r="185" spans="1:6" ht="38.25">
      <c r="A185" s="10" t="str">
        <f>HYPERLINK(SUBSTITUTE(T(hl_0),"{0}","900327619138178"),hn_0)</f>
        <v>ОВ</v>
      </c>
      <c r="B185" s="9">
        <v>4725</v>
      </c>
      <c r="C185" s="11" t="s">
        <v>73</v>
      </c>
      <c r="D185" s="15" t="s">
        <v>118</v>
      </c>
      <c r="E185" s="11" t="s">
        <v>99</v>
      </c>
      <c r="F185" s="12" t="s">
        <v>1599</v>
      </c>
    </row>
    <row r="186" spans="1:6" ht="63.75">
      <c r="A186" s="10" t="str">
        <f>HYPERLINK(SUBSTITUTE(T(hl_0),"{0}","900327467569253"),hn_0)</f>
        <v>ОВ</v>
      </c>
      <c r="B186" s="9">
        <v>5000</v>
      </c>
      <c r="C186" s="11" t="s">
        <v>73</v>
      </c>
      <c r="D186" s="15" t="s">
        <v>131</v>
      </c>
      <c r="E186" s="11" t="s">
        <v>114</v>
      </c>
      <c r="F186" s="12" t="s">
        <v>1599</v>
      </c>
    </row>
    <row r="187" spans="1:6" ht="51">
      <c r="A187" s="10" t="str">
        <f>HYPERLINK(SUBSTITUTE(T(hl_0),"{0}","900327486087515"),hn_0)</f>
        <v>ОВ</v>
      </c>
      <c r="B187" s="9">
        <v>4725</v>
      </c>
      <c r="C187" s="11" t="s">
        <v>73</v>
      </c>
      <c r="D187" s="15" t="s">
        <v>135</v>
      </c>
      <c r="E187" s="11" t="s">
        <v>114</v>
      </c>
      <c r="F187" s="12" t="s">
        <v>1599</v>
      </c>
    </row>
    <row r="188" spans="1:6" ht="76.5">
      <c r="A188" s="10" t="str">
        <f>HYPERLINK(SUBSTITUTE(T(hl_0),"{0}","900327597519692"),hn_0)</f>
        <v>ОВ</v>
      </c>
      <c r="B188" s="9">
        <v>5000</v>
      </c>
      <c r="C188" s="11" t="s">
        <v>73</v>
      </c>
      <c r="D188" s="15" t="s">
        <v>117</v>
      </c>
      <c r="E188" s="11" t="s">
        <v>155</v>
      </c>
      <c r="F188" s="12" t="s">
        <v>1599</v>
      </c>
    </row>
    <row r="189" spans="1:6" ht="51">
      <c r="A189" s="10" t="str">
        <f>HYPERLINK(SUBSTITUTE(T(hl_0),"{0}","900327534054415"),hn_0)</f>
        <v>ОВ</v>
      </c>
      <c r="B189" s="9">
        <v>4725</v>
      </c>
      <c r="C189" s="11" t="s">
        <v>73</v>
      </c>
      <c r="D189" s="15" t="s">
        <v>123</v>
      </c>
      <c r="E189" s="11" t="s">
        <v>87</v>
      </c>
      <c r="F189" s="12" t="s">
        <v>1599</v>
      </c>
    </row>
    <row r="190" spans="1:6" ht="51">
      <c r="A190" s="10" t="str">
        <f>HYPERLINK(SUBSTITUTE(T(hl_0),"{0}","900327536387514"),hn_0)</f>
        <v>ОВ</v>
      </c>
      <c r="B190" s="9">
        <v>4725</v>
      </c>
      <c r="C190" s="11" t="s">
        <v>73</v>
      </c>
      <c r="D190" s="15" t="s">
        <v>123</v>
      </c>
      <c r="E190" s="11" t="s">
        <v>139</v>
      </c>
      <c r="F190" s="12" t="s">
        <v>1599</v>
      </c>
    </row>
    <row r="191" spans="1:6" ht="51">
      <c r="A191" s="10" t="str">
        <f>HYPERLINK(SUBSTITUTE(T(hl_0),"{0}","900327359851342"),hn_0)</f>
        <v>ОВ</v>
      </c>
      <c r="B191" s="9">
        <v>4725</v>
      </c>
      <c r="C191" s="11" t="s">
        <v>73</v>
      </c>
      <c r="D191" s="15" t="s">
        <v>120</v>
      </c>
      <c r="E191" s="11" t="s">
        <v>130</v>
      </c>
      <c r="F191" s="12" t="s">
        <v>1599</v>
      </c>
    </row>
    <row r="192" spans="1:6" ht="51">
      <c r="A192" s="10" t="str">
        <f>HYPERLINK(SUBSTITUTE(T(hl_0),"{0}","900327488112116"),hn_0)</f>
        <v>ОВ</v>
      </c>
      <c r="B192" s="9">
        <v>4725</v>
      </c>
      <c r="C192" s="11" t="s">
        <v>73</v>
      </c>
      <c r="D192" s="15" t="s">
        <v>135</v>
      </c>
      <c r="E192" s="11" t="s">
        <v>156</v>
      </c>
      <c r="F192" s="12" t="s">
        <v>1599</v>
      </c>
    </row>
    <row r="193" spans="1:6" ht="38.25">
      <c r="A193" s="10" t="str">
        <f>HYPERLINK(SUBSTITUTE(T(hl_0),"{0}","900327619033325"),hn_0)</f>
        <v>ОВ</v>
      </c>
      <c r="B193" s="9">
        <v>5000</v>
      </c>
      <c r="C193" s="11" t="s">
        <v>73</v>
      </c>
      <c r="D193" s="15" t="s">
        <v>118</v>
      </c>
      <c r="E193" s="11" t="s">
        <v>157</v>
      </c>
      <c r="F193" s="12" t="s">
        <v>1599</v>
      </c>
    </row>
    <row r="194" spans="1:6" ht="51">
      <c r="A194" s="10" t="str">
        <f>HYPERLINK(SUBSTITUTE(T(hl_0),"{0}","900327362421073"),hn_0)</f>
        <v>ОВ</v>
      </c>
      <c r="B194" s="9">
        <v>5000</v>
      </c>
      <c r="C194" s="11" t="s">
        <v>73</v>
      </c>
      <c r="D194" s="15" t="s">
        <v>120</v>
      </c>
      <c r="E194" s="11" t="s">
        <v>158</v>
      </c>
      <c r="F194" s="12" t="s">
        <v>1599</v>
      </c>
    </row>
    <row r="195" spans="1:6" ht="76.5">
      <c r="A195" s="10" t="str">
        <f>HYPERLINK(SUBSTITUTE(T(hl_0),"{0}","900327598715176"),hn_0)</f>
        <v>ОВ</v>
      </c>
      <c r="B195" s="9">
        <v>5000</v>
      </c>
      <c r="C195" s="11" t="s">
        <v>73</v>
      </c>
      <c r="D195" s="15" t="s">
        <v>117</v>
      </c>
      <c r="E195" s="11" t="s">
        <v>159</v>
      </c>
      <c r="F195" s="12" t="s">
        <v>1599</v>
      </c>
    </row>
    <row r="196" spans="1:6" ht="51">
      <c r="A196" s="10" t="str">
        <f>HYPERLINK(SUBSTITUTE(T(hl_0),"{0}","900327486087524"),hn_0)</f>
        <v>ОВ</v>
      </c>
      <c r="B196" s="9">
        <v>4725</v>
      </c>
      <c r="C196" s="11" t="s">
        <v>73</v>
      </c>
      <c r="D196" s="15" t="s">
        <v>135</v>
      </c>
      <c r="E196" s="11" t="s">
        <v>114</v>
      </c>
      <c r="F196" s="12" t="s">
        <v>1599</v>
      </c>
    </row>
    <row r="197" spans="1:6" ht="51">
      <c r="A197" s="10" t="str">
        <f>HYPERLINK(SUBSTITUTE(T(hl_0),"{0}","900327486087533"),hn_0)</f>
        <v>ОВ</v>
      </c>
      <c r="B197" s="9">
        <v>4725</v>
      </c>
      <c r="C197" s="11" t="s">
        <v>73</v>
      </c>
      <c r="D197" s="15" t="s">
        <v>135</v>
      </c>
      <c r="E197" s="11" t="s">
        <v>114</v>
      </c>
      <c r="F197" s="12" t="s">
        <v>1599</v>
      </c>
    </row>
    <row r="198" spans="1:6" ht="51">
      <c r="A198" s="10" t="str">
        <f>HYPERLINK(SUBSTITUTE(T(hl_0),"{0}","900327486087542"),hn_0)</f>
        <v>ОВ</v>
      </c>
      <c r="B198" s="9">
        <v>4725</v>
      </c>
      <c r="C198" s="11" t="s">
        <v>73</v>
      </c>
      <c r="D198" s="15" t="s">
        <v>135</v>
      </c>
      <c r="E198" s="11" t="s">
        <v>114</v>
      </c>
      <c r="F198" s="12" t="s">
        <v>1599</v>
      </c>
    </row>
    <row r="199" spans="1:6" ht="51">
      <c r="A199" s="10" t="str">
        <f>HYPERLINK(SUBSTITUTE(T(hl_0),"{0}","900327486087551"),hn_0)</f>
        <v>ОВ</v>
      </c>
      <c r="B199" s="9">
        <v>4725</v>
      </c>
      <c r="C199" s="11" t="s">
        <v>73</v>
      </c>
      <c r="D199" s="15" t="s">
        <v>135</v>
      </c>
      <c r="E199" s="11" t="s">
        <v>114</v>
      </c>
      <c r="F199" s="12" t="s">
        <v>1599</v>
      </c>
    </row>
    <row r="200" spans="1:6" ht="38.25">
      <c r="A200" s="10" t="str">
        <f>HYPERLINK(SUBSTITUTE(T(hl_0),"{0}","900327619094089"),hn_0)</f>
        <v>ОВ</v>
      </c>
      <c r="B200" s="9">
        <v>5000</v>
      </c>
      <c r="C200" s="11" t="s">
        <v>73</v>
      </c>
      <c r="D200" s="15" t="s">
        <v>118</v>
      </c>
      <c r="E200" s="11" t="s">
        <v>160</v>
      </c>
      <c r="F200" s="12" t="s">
        <v>1599</v>
      </c>
    </row>
    <row r="201" spans="1:6" ht="51">
      <c r="A201" s="10" t="str">
        <f>HYPERLINK(SUBSTITUTE(T(hl_0),"{0}","900327362082603"),hn_0)</f>
        <v>ОВ</v>
      </c>
      <c r="B201" s="9">
        <v>4725</v>
      </c>
      <c r="C201" s="11" t="s">
        <v>73</v>
      </c>
      <c r="D201" s="15" t="s">
        <v>120</v>
      </c>
      <c r="E201" s="11" t="s">
        <v>161</v>
      </c>
      <c r="F201" s="12" t="s">
        <v>1599</v>
      </c>
    </row>
    <row r="202" spans="1:6" ht="76.5">
      <c r="A202" s="10" t="str">
        <f>HYPERLINK(SUBSTITUTE(T(hl_0),"{0}","900327598821339"),hn_0)</f>
        <v>ОВ</v>
      </c>
      <c r="B202" s="9">
        <v>5000</v>
      </c>
      <c r="C202" s="11" t="s">
        <v>73</v>
      </c>
      <c r="D202" s="15" t="s">
        <v>117</v>
      </c>
      <c r="E202" s="11" t="s">
        <v>112</v>
      </c>
      <c r="F202" s="12" t="s">
        <v>1599</v>
      </c>
    </row>
    <row r="203" spans="1:6" ht="51">
      <c r="A203" s="10" t="str">
        <f>HYPERLINK(SUBSTITUTE(T(hl_0),"{0}","900327535937122"),hn_0)</f>
        <v>ОВ</v>
      </c>
      <c r="B203" s="9">
        <v>4725</v>
      </c>
      <c r="C203" s="11" t="s">
        <v>73</v>
      </c>
      <c r="D203" s="15" t="s">
        <v>123</v>
      </c>
      <c r="E203" s="11" t="s">
        <v>162</v>
      </c>
      <c r="F203" s="12" t="s">
        <v>1599</v>
      </c>
    </row>
    <row r="204" spans="1:6" ht="51">
      <c r="A204" s="10" t="str">
        <f>HYPERLINK(SUBSTITUTE(T(hl_0),"{0}","900327488159333"),hn_0)</f>
        <v>ОВ</v>
      </c>
      <c r="B204" s="9">
        <v>4725</v>
      </c>
      <c r="C204" s="11" t="s">
        <v>73</v>
      </c>
      <c r="D204" s="15" t="s">
        <v>135</v>
      </c>
      <c r="E204" s="11" t="s">
        <v>163</v>
      </c>
      <c r="F204" s="12" t="s">
        <v>1599</v>
      </c>
    </row>
    <row r="205" spans="1:6" ht="51">
      <c r="A205" s="10" t="str">
        <f>HYPERLINK(SUBSTITUTE(T(hl_0),"{0}","900327487431408"),hn_0)</f>
        <v>ОВ</v>
      </c>
      <c r="B205" s="9">
        <v>5000</v>
      </c>
      <c r="C205" s="11" t="s">
        <v>73</v>
      </c>
      <c r="D205" s="15" t="s">
        <v>135</v>
      </c>
      <c r="E205" s="11" t="s">
        <v>152</v>
      </c>
      <c r="F205" s="12" t="s">
        <v>1599</v>
      </c>
    </row>
    <row r="206" spans="1:6" ht="76.5">
      <c r="A206" s="10" t="str">
        <f>HYPERLINK(SUBSTITUTE(T(hl_0),"{0}","900327598792197"),hn_0)</f>
        <v>ОВ</v>
      </c>
      <c r="B206" s="9">
        <v>5000</v>
      </c>
      <c r="C206" s="11" t="s">
        <v>73</v>
      </c>
      <c r="D206" s="15" t="s">
        <v>117</v>
      </c>
      <c r="E206" s="11" t="s">
        <v>159</v>
      </c>
      <c r="F206" s="12" t="s">
        <v>1599</v>
      </c>
    </row>
    <row r="207" spans="1:6" ht="76.5">
      <c r="A207" s="10" t="str">
        <f>HYPERLINK(SUBSTITUTE(T(hl_0),"{0}","900327598814483"),hn_0)</f>
        <v>ОВ</v>
      </c>
      <c r="B207" s="9">
        <v>5000</v>
      </c>
      <c r="C207" s="11" t="s">
        <v>73</v>
      </c>
      <c r="D207" s="15" t="s">
        <v>117</v>
      </c>
      <c r="E207" s="11" t="s">
        <v>112</v>
      </c>
      <c r="F207" s="12" t="s">
        <v>1599</v>
      </c>
    </row>
    <row r="208" spans="1:6" ht="38.25">
      <c r="A208" s="10" t="str">
        <f>HYPERLINK(SUBSTITUTE(T(hl_0),"{0}","900327619043016"),hn_0)</f>
        <v>ОВ</v>
      </c>
      <c r="B208" s="9">
        <v>5000</v>
      </c>
      <c r="C208" s="11" t="s">
        <v>73</v>
      </c>
      <c r="D208" s="15" t="s">
        <v>118</v>
      </c>
      <c r="E208" s="11" t="s">
        <v>164</v>
      </c>
      <c r="F208" s="12" t="s">
        <v>1599</v>
      </c>
    </row>
    <row r="209" spans="1:6" ht="51">
      <c r="A209" s="10" t="str">
        <f>HYPERLINK(SUBSTITUTE(T(hl_0),"{0}","900327536360575"),hn_0)</f>
        <v>ОВ</v>
      </c>
      <c r="B209" s="9">
        <v>5000</v>
      </c>
      <c r="C209" s="11" t="s">
        <v>73</v>
      </c>
      <c r="D209" s="15" t="s">
        <v>123</v>
      </c>
      <c r="E209" s="11" t="s">
        <v>139</v>
      </c>
      <c r="F209" s="12" t="s">
        <v>1599</v>
      </c>
    </row>
    <row r="210" spans="1:6" ht="76.5">
      <c r="A210" s="10" t="str">
        <f>HYPERLINK(SUBSTITUTE(T(hl_0),"{0}","900327597876291"),hn_0)</f>
        <v>ОВ</v>
      </c>
      <c r="B210" s="9">
        <v>4725</v>
      </c>
      <c r="C210" s="11" t="s">
        <v>73</v>
      </c>
      <c r="D210" s="15" t="s">
        <v>117</v>
      </c>
      <c r="E210" s="11" t="s">
        <v>132</v>
      </c>
      <c r="F210" s="12" t="s">
        <v>1599</v>
      </c>
    </row>
    <row r="211" spans="1:6" ht="76.5">
      <c r="A211" s="10" t="str">
        <f>HYPERLINK(SUBSTITUTE(T(hl_0),"{0}","900327597638880"),hn_0)</f>
        <v>ОВ</v>
      </c>
      <c r="B211" s="9">
        <v>4725</v>
      </c>
      <c r="C211" s="11" t="s">
        <v>73</v>
      </c>
      <c r="D211" s="15" t="s">
        <v>117</v>
      </c>
      <c r="E211" s="11" t="s">
        <v>111</v>
      </c>
      <c r="F211" s="12" t="s">
        <v>1599</v>
      </c>
    </row>
    <row r="212" spans="1:6" ht="76.5">
      <c r="A212" s="10" t="str">
        <f>HYPERLINK(SUBSTITUTE(T(hl_0),"{0}","900327595312800"),hn_0)</f>
        <v>ОВ</v>
      </c>
      <c r="B212" s="9">
        <v>4725</v>
      </c>
      <c r="C212" s="11" t="s">
        <v>73</v>
      </c>
      <c r="D212" s="15" t="s">
        <v>117</v>
      </c>
      <c r="E212" s="11" t="s">
        <v>165</v>
      </c>
      <c r="F212" s="12" t="s">
        <v>1599</v>
      </c>
    </row>
    <row r="213" spans="1:6" ht="51">
      <c r="A213" s="10" t="str">
        <f>HYPERLINK(SUBSTITUTE(T(hl_0),"{0}","900327488606240"),hn_0)</f>
        <v>ОВ</v>
      </c>
      <c r="B213" s="9">
        <v>4725</v>
      </c>
      <c r="C213" s="11" t="s">
        <v>73</v>
      </c>
      <c r="D213" s="15" t="s">
        <v>135</v>
      </c>
      <c r="E213" s="11" t="s">
        <v>149</v>
      </c>
      <c r="F213" s="12" t="s">
        <v>1599</v>
      </c>
    </row>
    <row r="214" spans="1:6" ht="76.5">
      <c r="A214" s="10" t="str">
        <f>HYPERLINK(SUBSTITUTE(T(hl_0),"{0}","900327598276583"),hn_0)</f>
        <v>ОВ</v>
      </c>
      <c r="B214" s="9">
        <v>5000</v>
      </c>
      <c r="C214" s="11" t="s">
        <v>73</v>
      </c>
      <c r="D214" s="15" t="s">
        <v>117</v>
      </c>
      <c r="E214" s="11" t="s">
        <v>112</v>
      </c>
      <c r="F214" s="12" t="s">
        <v>1599</v>
      </c>
    </row>
    <row r="215" spans="1:6" ht="51">
      <c r="A215" s="10" t="str">
        <f>HYPERLINK(SUBSTITUTE(T(hl_0),"{0}","900327536272390"),hn_0)</f>
        <v>ОВ</v>
      </c>
      <c r="B215" s="9">
        <v>5000</v>
      </c>
      <c r="C215" s="11" t="s">
        <v>73</v>
      </c>
      <c r="D215" s="15" t="s">
        <v>123</v>
      </c>
      <c r="E215" s="11" t="s">
        <v>162</v>
      </c>
      <c r="F215" s="12" t="s">
        <v>1599</v>
      </c>
    </row>
    <row r="216" spans="1:6" ht="76.5">
      <c r="A216" s="10" t="str">
        <f>HYPERLINK(SUBSTITUTE(T(hl_0),"{0}","900327597300379"),hn_0)</f>
        <v>ОВ</v>
      </c>
      <c r="B216" s="9">
        <v>4725</v>
      </c>
      <c r="C216" s="11" t="s">
        <v>73</v>
      </c>
      <c r="D216" s="15" t="s">
        <v>117</v>
      </c>
      <c r="E216" s="11" t="s">
        <v>166</v>
      </c>
      <c r="F216" s="12" t="s">
        <v>1599</v>
      </c>
    </row>
    <row r="217" spans="1:6" ht="76.5">
      <c r="A217" s="10" t="str">
        <f>HYPERLINK(SUBSTITUTE(T(hl_0),"{0}","900327598073200"),hn_0)</f>
        <v>ОВ</v>
      </c>
      <c r="B217" s="9">
        <v>4725</v>
      </c>
      <c r="C217" s="11" t="s">
        <v>73</v>
      </c>
      <c r="D217" s="15" t="s">
        <v>117</v>
      </c>
      <c r="E217" s="11" t="s">
        <v>159</v>
      </c>
      <c r="F217" s="12" t="s">
        <v>1599</v>
      </c>
    </row>
    <row r="218" spans="1:6" ht="76.5">
      <c r="A218" s="10" t="str">
        <f>HYPERLINK(SUBSTITUTE(T(hl_0),"{0}","900327598558658"),hn_0)</f>
        <v>ОВ</v>
      </c>
      <c r="B218" s="9">
        <v>5000</v>
      </c>
      <c r="C218" s="11" t="s">
        <v>73</v>
      </c>
      <c r="D218" s="15" t="s">
        <v>117</v>
      </c>
      <c r="E218" s="11" t="s">
        <v>94</v>
      </c>
      <c r="F218" s="12" t="s">
        <v>1599</v>
      </c>
    </row>
    <row r="219" spans="1:6" ht="76.5">
      <c r="A219" s="10" t="str">
        <f>HYPERLINK(SUBSTITUTE(T(hl_0),"{0}","900327598168032"),hn_0)</f>
        <v>ОВ</v>
      </c>
      <c r="B219" s="9">
        <v>4725</v>
      </c>
      <c r="C219" s="11" t="s">
        <v>73</v>
      </c>
      <c r="D219" s="15" t="s">
        <v>117</v>
      </c>
      <c r="E219" s="11" t="s">
        <v>94</v>
      </c>
      <c r="F219" s="12" t="s">
        <v>1599</v>
      </c>
    </row>
    <row r="220" spans="1:6" ht="63.75">
      <c r="A220" s="10" t="str">
        <f>HYPERLINK(SUBSTITUTE(T(hl_0),"{0}","900327468019629"),hn_0)</f>
        <v>ОВ</v>
      </c>
      <c r="B220" s="9">
        <v>5000</v>
      </c>
      <c r="C220" s="11" t="s">
        <v>73</v>
      </c>
      <c r="D220" s="15" t="s">
        <v>131</v>
      </c>
      <c r="E220" s="11" t="s">
        <v>167</v>
      </c>
      <c r="F220" s="12" t="s">
        <v>1599</v>
      </c>
    </row>
    <row r="221" spans="1:6" ht="76.5">
      <c r="A221" s="10" t="str">
        <f>HYPERLINK(SUBSTITUTE(T(hl_0),"{0}","900327598057980"),hn_0)</f>
        <v>ОВ</v>
      </c>
      <c r="B221" s="9">
        <v>4725</v>
      </c>
      <c r="C221" s="11" t="s">
        <v>73</v>
      </c>
      <c r="D221" s="15" t="s">
        <v>117</v>
      </c>
      <c r="E221" s="11" t="s">
        <v>159</v>
      </c>
      <c r="F221" s="12" t="s">
        <v>1599</v>
      </c>
    </row>
    <row r="222" spans="1:6" ht="63.75">
      <c r="A222" s="10" t="str">
        <f>HYPERLINK(SUBSTITUTE(T(hl_0),"{0}","900327513172881"),hn_0)</f>
        <v>ОВ</v>
      </c>
      <c r="B222" s="9">
        <v>5000</v>
      </c>
      <c r="C222" s="11" t="s">
        <v>73</v>
      </c>
      <c r="D222" s="15" t="s">
        <v>125</v>
      </c>
      <c r="E222" s="11" t="s">
        <v>127</v>
      </c>
      <c r="F222" s="12" t="s">
        <v>1599</v>
      </c>
    </row>
    <row r="223" spans="1:6" ht="76.5">
      <c r="A223" s="10" t="str">
        <f>HYPERLINK(SUBSTITUTE(T(hl_0),"{0}","900327598576991"),hn_0)</f>
        <v>ОВ</v>
      </c>
      <c r="B223" s="9">
        <v>5000</v>
      </c>
      <c r="C223" s="11" t="s">
        <v>73</v>
      </c>
      <c r="D223" s="15" t="s">
        <v>117</v>
      </c>
      <c r="E223" s="11" t="s">
        <v>132</v>
      </c>
      <c r="F223" s="12" t="s">
        <v>1599</v>
      </c>
    </row>
    <row r="224" spans="1:6" ht="63.75">
      <c r="A224" s="10" t="str">
        <f>HYPERLINK(SUBSTITUTE(T(hl_0),"{0}","900327468028285"),hn_0)</f>
        <v>ОВ</v>
      </c>
      <c r="B224" s="9">
        <v>4725</v>
      </c>
      <c r="C224" s="11" t="s">
        <v>73</v>
      </c>
      <c r="D224" s="15" t="s">
        <v>131</v>
      </c>
      <c r="E224" s="11" t="s">
        <v>168</v>
      </c>
      <c r="F224" s="12" t="s">
        <v>1599</v>
      </c>
    </row>
    <row r="225" spans="1:6" ht="76.5">
      <c r="A225" s="10" t="str">
        <f>HYPERLINK(SUBSTITUTE(T(hl_0),"{0}","900327598536591"),hn_0)</f>
        <v>ОВ</v>
      </c>
      <c r="B225" s="9">
        <v>5000</v>
      </c>
      <c r="C225" s="11" t="s">
        <v>73</v>
      </c>
      <c r="D225" s="15" t="s">
        <v>117</v>
      </c>
      <c r="E225" s="11" t="s">
        <v>94</v>
      </c>
      <c r="F225" s="12" t="s">
        <v>1599</v>
      </c>
    </row>
    <row r="226" spans="1:6" ht="63.75">
      <c r="A226" s="10" t="str">
        <f>HYPERLINK(SUBSTITUTE(T(hl_0),"{0}","900327513257720"),hn_0)</f>
        <v>ОВ</v>
      </c>
      <c r="B226" s="9">
        <v>5000</v>
      </c>
      <c r="C226" s="11" t="s">
        <v>73</v>
      </c>
      <c r="D226" s="15" t="s">
        <v>125</v>
      </c>
      <c r="E226" s="11" t="s">
        <v>169</v>
      </c>
      <c r="F226" s="12" t="s">
        <v>1599</v>
      </c>
    </row>
    <row r="227" spans="1:6" ht="51">
      <c r="A227" s="10" t="str">
        <f>HYPERLINK(SUBSTITUTE(T(hl_0),"{0}","900327536334741"),hn_0)</f>
        <v>ОВ</v>
      </c>
      <c r="B227" s="9">
        <v>5000</v>
      </c>
      <c r="C227" s="11" t="s">
        <v>73</v>
      </c>
      <c r="D227" s="15" t="s">
        <v>123</v>
      </c>
      <c r="E227" s="11" t="s">
        <v>139</v>
      </c>
      <c r="F227" s="12" t="s">
        <v>1599</v>
      </c>
    </row>
    <row r="228" spans="1:6" ht="76.5">
      <c r="A228" s="10" t="str">
        <f>HYPERLINK(SUBSTITUTE(T(hl_0),"{0}","900327598704732"),hn_0)</f>
        <v>ОВ</v>
      </c>
      <c r="B228" s="9">
        <v>5000</v>
      </c>
      <c r="C228" s="11" t="s">
        <v>73</v>
      </c>
      <c r="D228" s="15" t="s">
        <v>117</v>
      </c>
      <c r="E228" s="11" t="s">
        <v>94</v>
      </c>
      <c r="F228" s="12" t="s">
        <v>1599</v>
      </c>
    </row>
    <row r="229" spans="1:6" ht="63.75">
      <c r="A229" s="10" t="str">
        <f>HYPERLINK(SUBSTITUTE(T(hl_0),"{0}","900327513227272"),hn_0)</f>
        <v>ОВ</v>
      </c>
      <c r="B229" s="9">
        <v>5000</v>
      </c>
      <c r="C229" s="11" t="s">
        <v>73</v>
      </c>
      <c r="D229" s="15" t="s">
        <v>125</v>
      </c>
      <c r="E229" s="11" t="s">
        <v>170</v>
      </c>
      <c r="F229" s="12" t="s">
        <v>1599</v>
      </c>
    </row>
    <row r="230" spans="1:6" ht="76.5">
      <c r="A230" s="10" t="str">
        <f>HYPERLINK(SUBSTITUTE(T(hl_0),"{0}","900327597537076"),hn_0)</f>
        <v>ОВ</v>
      </c>
      <c r="B230" s="9">
        <v>5000</v>
      </c>
      <c r="C230" s="11" t="s">
        <v>73</v>
      </c>
      <c r="D230" s="15" t="s">
        <v>117</v>
      </c>
      <c r="E230" s="11" t="s">
        <v>102</v>
      </c>
      <c r="F230" s="12" t="s">
        <v>1599</v>
      </c>
    </row>
    <row r="231" spans="1:6" ht="63.75">
      <c r="A231" s="10" t="str">
        <f>HYPERLINK(SUBSTITUTE(T(hl_0),"{0}","900327513385789"),hn_0)</f>
        <v>ОВ</v>
      </c>
      <c r="B231" s="9">
        <v>4725</v>
      </c>
      <c r="C231" s="11" t="s">
        <v>73</v>
      </c>
      <c r="D231" s="15" t="s">
        <v>125</v>
      </c>
      <c r="E231" s="11" t="s">
        <v>133</v>
      </c>
      <c r="F231" s="12" t="s">
        <v>1599</v>
      </c>
    </row>
    <row r="232" spans="1:6" ht="51">
      <c r="A232" s="10" t="str">
        <f>HYPERLINK(SUBSTITUTE(T(hl_0),"{0}","900327487848398"),hn_0)</f>
        <v>ОВ</v>
      </c>
      <c r="B232" s="9">
        <v>5000</v>
      </c>
      <c r="C232" s="11" t="s">
        <v>73</v>
      </c>
      <c r="D232" s="15" t="s">
        <v>135</v>
      </c>
      <c r="E232" s="11" t="s">
        <v>134</v>
      </c>
      <c r="F232" s="12" t="s">
        <v>1599</v>
      </c>
    </row>
    <row r="233" spans="1:6" ht="51">
      <c r="A233" s="10" t="str">
        <f>HYPERLINK(SUBSTITUTE(T(hl_0),"{0}","900327359307135"),hn_0)</f>
        <v>ОВ</v>
      </c>
      <c r="B233" s="9">
        <v>5000</v>
      </c>
      <c r="C233" s="11" t="s">
        <v>73</v>
      </c>
      <c r="D233" s="15" t="s">
        <v>120</v>
      </c>
      <c r="E233" s="11" t="s">
        <v>45</v>
      </c>
      <c r="F233" s="12" t="s">
        <v>1599</v>
      </c>
    </row>
    <row r="234" spans="1:6" ht="76.5">
      <c r="A234" s="10" t="str">
        <f>HYPERLINK(SUBSTITUTE(T(hl_0),"{0}","900327597176788"),hn_0)</f>
        <v>ОВ</v>
      </c>
      <c r="B234" s="9">
        <v>5000</v>
      </c>
      <c r="C234" s="11" t="s">
        <v>73</v>
      </c>
      <c r="D234" s="15" t="s">
        <v>117</v>
      </c>
      <c r="E234" s="11" t="s">
        <v>171</v>
      </c>
      <c r="F234" s="12" t="s">
        <v>1599</v>
      </c>
    </row>
    <row r="235" spans="1:6" ht="63.75">
      <c r="A235" s="10" t="str">
        <f>HYPERLINK(SUBSTITUTE(T(hl_0),"{0}","900327467612517"),hn_0)</f>
        <v>ОВ</v>
      </c>
      <c r="B235" s="9">
        <v>5000</v>
      </c>
      <c r="C235" s="11" t="s">
        <v>73</v>
      </c>
      <c r="D235" s="15" t="s">
        <v>131</v>
      </c>
      <c r="E235" s="11" t="s">
        <v>167</v>
      </c>
      <c r="F235" s="12" t="s">
        <v>1599</v>
      </c>
    </row>
    <row r="236" spans="1:6" ht="76.5">
      <c r="A236" s="10" t="str">
        <f>HYPERLINK(SUBSTITUTE(T(hl_0),"{0}","900327597603870"),hn_0)</f>
        <v>ОВ</v>
      </c>
      <c r="B236" s="9">
        <v>4725</v>
      </c>
      <c r="C236" s="11" t="s">
        <v>73</v>
      </c>
      <c r="D236" s="15" t="s">
        <v>117</v>
      </c>
      <c r="E236" s="11" t="s">
        <v>172</v>
      </c>
      <c r="F236" s="12" t="s">
        <v>1599</v>
      </c>
    </row>
    <row r="237" spans="1:6" ht="51">
      <c r="A237" s="10" t="str">
        <f>HYPERLINK(SUBSTITUTE(T(hl_0),"{0}","900327359168819"),hn_0)</f>
        <v>ОВ</v>
      </c>
      <c r="B237" s="9">
        <v>4725</v>
      </c>
      <c r="C237" s="11" t="s">
        <v>73</v>
      </c>
      <c r="D237" s="15" t="s">
        <v>120</v>
      </c>
      <c r="E237" s="11" t="s">
        <v>149</v>
      </c>
      <c r="F237" s="12" t="s">
        <v>1599</v>
      </c>
    </row>
    <row r="238" spans="1:6" ht="51">
      <c r="A238" s="10" t="str">
        <f>HYPERLINK(SUBSTITUTE(T(hl_0),"{0}","900327359168833"),hn_0)</f>
        <v>ОВ</v>
      </c>
      <c r="B238" s="9">
        <v>4725</v>
      </c>
      <c r="C238" s="11" t="s">
        <v>73</v>
      </c>
      <c r="D238" s="15" t="s">
        <v>120</v>
      </c>
      <c r="E238" s="11" t="s">
        <v>149</v>
      </c>
      <c r="F238" s="12" t="s">
        <v>1599</v>
      </c>
    </row>
    <row r="239" spans="1:6" ht="76.5">
      <c r="A239" s="10" t="str">
        <f>HYPERLINK(SUBSTITUTE(T(hl_0),"{0}","900327598490218"),hn_0)</f>
        <v>ОВ</v>
      </c>
      <c r="B239" s="9">
        <v>5000</v>
      </c>
      <c r="C239" s="11" t="s">
        <v>73</v>
      </c>
      <c r="D239" s="15" t="s">
        <v>117</v>
      </c>
      <c r="E239" s="11" t="s">
        <v>122</v>
      </c>
      <c r="F239" s="12" t="s">
        <v>1599</v>
      </c>
    </row>
    <row r="240" spans="1:6" ht="76.5">
      <c r="A240" s="10" t="str">
        <f>HYPERLINK(SUBSTITUTE(T(hl_0),"{0}","900327598615206"),hn_0)</f>
        <v>ОВ</v>
      </c>
      <c r="B240" s="9">
        <v>5000</v>
      </c>
      <c r="C240" s="11" t="s">
        <v>73</v>
      </c>
      <c r="D240" s="15" t="s">
        <v>117</v>
      </c>
      <c r="E240" s="11" t="s">
        <v>112</v>
      </c>
      <c r="F240" s="12" t="s">
        <v>1599</v>
      </c>
    </row>
    <row r="241" spans="1:6" ht="76.5">
      <c r="A241" s="10" t="str">
        <f>HYPERLINK(SUBSTITUTE(T(hl_0),"{0}","900327598625768"),hn_0)</f>
        <v>ОВ</v>
      </c>
      <c r="B241" s="9">
        <v>5000</v>
      </c>
      <c r="C241" s="11" t="s">
        <v>73</v>
      </c>
      <c r="D241" s="15" t="s">
        <v>117</v>
      </c>
      <c r="E241" s="11" t="s">
        <v>112</v>
      </c>
      <c r="F241" s="12" t="s">
        <v>1599</v>
      </c>
    </row>
    <row r="242" spans="1:6" ht="51">
      <c r="A242" s="10" t="str">
        <f>HYPERLINK(SUBSTITUTE(T(hl_0),"{0}","900327359614871"),hn_0)</f>
        <v>ОВ</v>
      </c>
      <c r="B242" s="9">
        <v>5000</v>
      </c>
      <c r="C242" s="11" t="s">
        <v>73</v>
      </c>
      <c r="D242" s="15" t="s">
        <v>120</v>
      </c>
      <c r="E242" s="11" t="s">
        <v>173</v>
      </c>
      <c r="F242" s="12" t="s">
        <v>1599</v>
      </c>
    </row>
    <row r="243" spans="1:6" ht="51">
      <c r="A243" s="10" t="str">
        <f>HYPERLINK(SUBSTITUTE(T(hl_0),"{0}","900327486942690"),hn_0)</f>
        <v>ОВ</v>
      </c>
      <c r="B243" s="9">
        <v>5000</v>
      </c>
      <c r="C243" s="11" t="s">
        <v>73</v>
      </c>
      <c r="D243" s="15" t="s">
        <v>135</v>
      </c>
      <c r="E243" s="11" t="s">
        <v>156</v>
      </c>
      <c r="F243" s="12" t="s">
        <v>1599</v>
      </c>
    </row>
    <row r="244" spans="1:6" ht="51">
      <c r="A244" s="10" t="str">
        <f>HYPERLINK(SUBSTITUTE(T(hl_0),"{0}","900327486942699"),hn_0)</f>
        <v>ОВ</v>
      </c>
      <c r="B244" s="9">
        <v>5000</v>
      </c>
      <c r="C244" s="11" t="s">
        <v>73</v>
      </c>
      <c r="D244" s="15" t="s">
        <v>135</v>
      </c>
      <c r="E244" s="11" t="s">
        <v>156</v>
      </c>
      <c r="F244" s="12" t="s">
        <v>1599</v>
      </c>
    </row>
    <row r="245" spans="1:6" ht="51">
      <c r="A245" s="10" t="str">
        <f>HYPERLINK(SUBSTITUTE(T(hl_0),"{0}","900327535614115"),hn_0)</f>
        <v>ОВ</v>
      </c>
      <c r="B245" s="9">
        <v>5000</v>
      </c>
      <c r="C245" s="11" t="s">
        <v>73</v>
      </c>
      <c r="D245" s="15" t="s">
        <v>123</v>
      </c>
      <c r="E245" s="11" t="s">
        <v>174</v>
      </c>
      <c r="F245" s="12" t="s">
        <v>1599</v>
      </c>
    </row>
    <row r="246" spans="1:6" ht="76.5">
      <c r="A246" s="10" t="str">
        <f>HYPERLINK(SUBSTITUTE(T(hl_0),"{0}","900327598218047"),hn_0)</f>
        <v>ОВ</v>
      </c>
      <c r="B246" s="9">
        <v>4725</v>
      </c>
      <c r="C246" s="11" t="s">
        <v>73</v>
      </c>
      <c r="D246" s="15" t="s">
        <v>117</v>
      </c>
      <c r="E246" s="11" t="s">
        <v>83</v>
      </c>
      <c r="F246" s="12" t="s">
        <v>1599</v>
      </c>
    </row>
    <row r="247" spans="1:6" ht="63.75">
      <c r="A247" s="10" t="str">
        <f>HYPERLINK(SUBSTITUTE(T(hl_0),"{0}","900327513240868"),hn_0)</f>
        <v>ОВ</v>
      </c>
      <c r="B247" s="9">
        <v>5000</v>
      </c>
      <c r="C247" s="11" t="s">
        <v>73</v>
      </c>
      <c r="D247" s="15" t="s">
        <v>125</v>
      </c>
      <c r="E247" s="11" t="s">
        <v>127</v>
      </c>
      <c r="F247" s="12" t="s">
        <v>1599</v>
      </c>
    </row>
    <row r="248" spans="1:6" ht="76.5">
      <c r="A248" s="10" t="str">
        <f>HYPERLINK(SUBSTITUTE(T(hl_0),"{0}","900327596274328"),hn_0)</f>
        <v>ОВ</v>
      </c>
      <c r="B248" s="9">
        <v>4725</v>
      </c>
      <c r="C248" s="11" t="s">
        <v>73</v>
      </c>
      <c r="D248" s="15" t="s">
        <v>117</v>
      </c>
      <c r="E248" s="11" t="s">
        <v>175</v>
      </c>
      <c r="F248" s="12" t="s">
        <v>1599</v>
      </c>
    </row>
    <row r="249" spans="1:6" ht="76.5">
      <c r="A249" s="10" t="str">
        <f>HYPERLINK(SUBSTITUTE(T(hl_0),"{0}","900327597886893"),hn_0)</f>
        <v>ОВ</v>
      </c>
      <c r="B249" s="9">
        <v>4725</v>
      </c>
      <c r="C249" s="11" t="s">
        <v>73</v>
      </c>
      <c r="D249" s="15" t="s">
        <v>117</v>
      </c>
      <c r="E249" s="11" t="s">
        <v>176</v>
      </c>
      <c r="F249" s="12" t="s">
        <v>1599</v>
      </c>
    </row>
    <row r="250" spans="1:6" ht="51">
      <c r="A250" s="10" t="str">
        <f>HYPERLINK(SUBSTITUTE(T(hl_0),"{0}","900327486065902"),hn_0)</f>
        <v>ОВ</v>
      </c>
      <c r="B250" s="9">
        <v>4725</v>
      </c>
      <c r="C250" s="11" t="s">
        <v>73</v>
      </c>
      <c r="D250" s="15" t="s">
        <v>135</v>
      </c>
      <c r="E250" s="11" t="s">
        <v>167</v>
      </c>
      <c r="F250" s="12" t="s">
        <v>1599</v>
      </c>
    </row>
    <row r="251" spans="1:6" ht="51">
      <c r="A251" s="10" t="str">
        <f>HYPERLINK(SUBSTITUTE(T(hl_0),"{0}","900327487254528"),hn_0)</f>
        <v>ОВ</v>
      </c>
      <c r="B251" s="9">
        <v>5000</v>
      </c>
      <c r="C251" s="11" t="s">
        <v>73</v>
      </c>
      <c r="D251" s="15" t="s">
        <v>135</v>
      </c>
      <c r="E251" s="11" t="s">
        <v>101</v>
      </c>
      <c r="F251" s="12" t="s">
        <v>1599</v>
      </c>
    </row>
    <row r="252" spans="1:6" ht="51">
      <c r="A252" s="10" t="str">
        <f>HYPERLINK(SUBSTITUTE(T(hl_0),"{0}","900327535104611"),hn_0)</f>
        <v>ОВ</v>
      </c>
      <c r="B252" s="9">
        <v>4725</v>
      </c>
      <c r="C252" s="11" t="s">
        <v>73</v>
      </c>
      <c r="D252" s="15" t="s">
        <v>123</v>
      </c>
      <c r="E252" s="11" t="s">
        <v>154</v>
      </c>
      <c r="F252" s="12" t="s">
        <v>1599</v>
      </c>
    </row>
    <row r="253" spans="1:6" ht="51">
      <c r="A253" s="10" t="str">
        <f>HYPERLINK(SUBSTITUTE(T(hl_0),"{0}","900327535229034"),hn_0)</f>
        <v>ОВ</v>
      </c>
      <c r="B253" s="9">
        <v>5000</v>
      </c>
      <c r="C253" s="11" t="s">
        <v>73</v>
      </c>
      <c r="D253" s="15" t="s">
        <v>123</v>
      </c>
      <c r="E253" s="11" t="s">
        <v>154</v>
      </c>
      <c r="F253" s="12" t="s">
        <v>1599</v>
      </c>
    </row>
    <row r="254" spans="1:6" ht="51">
      <c r="A254" s="10" t="str">
        <f>HYPERLINK(SUBSTITUTE(T(hl_0),"{0}","900327361907966"),hn_0)</f>
        <v>ОВ</v>
      </c>
      <c r="B254" s="9">
        <v>4725</v>
      </c>
      <c r="C254" s="11" t="s">
        <v>73</v>
      </c>
      <c r="D254" s="15" t="s">
        <v>120</v>
      </c>
      <c r="E254" s="11" t="s">
        <v>93</v>
      </c>
      <c r="F254" s="12" t="s">
        <v>1599</v>
      </c>
    </row>
    <row r="255" spans="1:6" ht="76.5">
      <c r="A255" s="10" t="str">
        <f>HYPERLINK(SUBSTITUTE(T(hl_0),"{0}","900327598635328"),hn_0)</f>
        <v>ОВ</v>
      </c>
      <c r="B255" s="9">
        <v>5000</v>
      </c>
      <c r="C255" s="11" t="s">
        <v>73</v>
      </c>
      <c r="D255" s="15" t="s">
        <v>117</v>
      </c>
      <c r="E255" s="11" t="s">
        <v>112</v>
      </c>
      <c r="F255" s="12" t="s">
        <v>1599</v>
      </c>
    </row>
    <row r="256" spans="1:6" ht="51">
      <c r="A256" s="10" t="str">
        <f>HYPERLINK(SUBSTITUTE(T(hl_0),"{0}","900327359084543"),hn_0)</f>
        <v>ОВ</v>
      </c>
      <c r="B256" s="9">
        <v>5000</v>
      </c>
      <c r="C256" s="11" t="s">
        <v>73</v>
      </c>
      <c r="D256" s="15" t="s">
        <v>120</v>
      </c>
      <c r="E256" s="11" t="s">
        <v>149</v>
      </c>
      <c r="F256" s="12" t="s">
        <v>1599</v>
      </c>
    </row>
    <row r="257" spans="1:6" ht="63.75">
      <c r="A257" s="10" t="str">
        <f>HYPERLINK(SUBSTITUTE(T(hl_0),"{0}","900327467663834"),hn_0)</f>
        <v>ОВ</v>
      </c>
      <c r="B257" s="9">
        <v>5000</v>
      </c>
      <c r="C257" s="11" t="s">
        <v>73</v>
      </c>
      <c r="D257" s="15" t="s">
        <v>131</v>
      </c>
      <c r="E257" s="11" t="s">
        <v>88</v>
      </c>
      <c r="F257" s="12" t="s">
        <v>1599</v>
      </c>
    </row>
    <row r="258" spans="1:6" ht="63.75">
      <c r="A258" s="10" t="str">
        <f>HYPERLINK(SUBSTITUTE(T(hl_0),"{0}","900327467663854"),hn_0)</f>
        <v>ОВ</v>
      </c>
      <c r="B258" s="9">
        <v>5000</v>
      </c>
      <c r="C258" s="11" t="s">
        <v>73</v>
      </c>
      <c r="D258" s="15" t="s">
        <v>131</v>
      </c>
      <c r="E258" s="11" t="s">
        <v>88</v>
      </c>
      <c r="F258" s="12" t="s">
        <v>1599</v>
      </c>
    </row>
    <row r="259" spans="1:6" ht="63.75">
      <c r="A259" s="10" t="str">
        <f>HYPERLINK(SUBSTITUTE(T(hl_0),"{0}","900327467663863"),hn_0)</f>
        <v>ОВ</v>
      </c>
      <c r="B259" s="9">
        <v>5000</v>
      </c>
      <c r="C259" s="11" t="s">
        <v>73</v>
      </c>
      <c r="D259" s="15" t="s">
        <v>131</v>
      </c>
      <c r="E259" s="11" t="s">
        <v>88</v>
      </c>
      <c r="F259" s="12" t="s">
        <v>1599</v>
      </c>
    </row>
    <row r="260" spans="1:6" ht="63.75">
      <c r="A260" s="10" t="str">
        <f>HYPERLINK(SUBSTITUTE(T(hl_0),"{0}","900327467663884"),hn_0)</f>
        <v>ОВ</v>
      </c>
      <c r="B260" s="9">
        <v>5000</v>
      </c>
      <c r="C260" s="11" t="s">
        <v>73</v>
      </c>
      <c r="D260" s="15" t="s">
        <v>131</v>
      </c>
      <c r="E260" s="11" t="s">
        <v>88</v>
      </c>
      <c r="F260" s="12" t="s">
        <v>1599</v>
      </c>
    </row>
    <row r="261" spans="1:6" ht="51">
      <c r="A261" s="10" t="str">
        <f>HYPERLINK(SUBSTITUTE(T(hl_0),"{0}","900327361868352"),hn_0)</f>
        <v>ОВ</v>
      </c>
      <c r="B261" s="9">
        <v>5000</v>
      </c>
      <c r="C261" s="11" t="s">
        <v>73</v>
      </c>
      <c r="D261" s="15" t="s">
        <v>120</v>
      </c>
      <c r="E261" s="11" t="s">
        <v>93</v>
      </c>
      <c r="F261" s="12" t="s">
        <v>1599</v>
      </c>
    </row>
    <row r="262" spans="1:6" ht="51">
      <c r="A262" s="10" t="str">
        <f>HYPERLINK(SUBSTITUTE(T(hl_0),"{0}","900327362575166"),hn_0)</f>
        <v>ОВ</v>
      </c>
      <c r="B262" s="9">
        <v>4725</v>
      </c>
      <c r="C262" s="11" t="s">
        <v>73</v>
      </c>
      <c r="D262" s="15" t="s">
        <v>120</v>
      </c>
      <c r="E262" s="11" t="s">
        <v>143</v>
      </c>
      <c r="F262" s="12" t="s">
        <v>1599</v>
      </c>
    </row>
    <row r="263" spans="1:6" ht="51">
      <c r="A263" s="10" t="str">
        <f>HYPERLINK(SUBSTITUTE(T(hl_0),"{0}","900327487860566"),hn_0)</f>
        <v>ОВ</v>
      </c>
      <c r="B263" s="9">
        <v>5000</v>
      </c>
      <c r="C263" s="11" t="s">
        <v>73</v>
      </c>
      <c r="D263" s="15" t="s">
        <v>135</v>
      </c>
      <c r="E263" s="11" t="s">
        <v>167</v>
      </c>
      <c r="F263" s="12" t="s">
        <v>1599</v>
      </c>
    </row>
    <row r="264" spans="1:6" ht="76.5">
      <c r="A264" s="10" t="str">
        <f>HYPERLINK(SUBSTITUTE(T(hl_0),"{0}","900327598548379"),hn_0)</f>
        <v>ОВ</v>
      </c>
      <c r="B264" s="9">
        <v>5000</v>
      </c>
      <c r="C264" s="11" t="s">
        <v>73</v>
      </c>
      <c r="D264" s="15" t="s">
        <v>117</v>
      </c>
      <c r="E264" s="11" t="s">
        <v>94</v>
      </c>
      <c r="F264" s="12" t="s">
        <v>1599</v>
      </c>
    </row>
    <row r="265" spans="1:6" ht="51">
      <c r="A265" s="10" t="str">
        <f>HYPERLINK(SUBSTITUTE(T(hl_0),"{0}","900327534292381"),hn_0)</f>
        <v>ОВ</v>
      </c>
      <c r="B265" s="9">
        <v>5000</v>
      </c>
      <c r="C265" s="11" t="s">
        <v>73</v>
      </c>
      <c r="D265" s="15" t="s">
        <v>123</v>
      </c>
      <c r="E265" s="11" t="s">
        <v>144</v>
      </c>
      <c r="F265" s="12" t="s">
        <v>1599</v>
      </c>
    </row>
    <row r="266" spans="1:6" ht="51">
      <c r="A266" s="10" t="str">
        <f>HYPERLINK(SUBSTITUTE(T(hl_0),"{0}","900327359990257"),hn_0)</f>
        <v>ОВ</v>
      </c>
      <c r="B266" s="9">
        <v>5000</v>
      </c>
      <c r="C266" s="11" t="s">
        <v>73</v>
      </c>
      <c r="D266" s="15" t="s">
        <v>120</v>
      </c>
      <c r="E266" s="11" t="s">
        <v>37</v>
      </c>
      <c r="F266" s="12" t="s">
        <v>1599</v>
      </c>
    </row>
    <row r="267" spans="1:6" ht="51">
      <c r="A267" s="10" t="str">
        <f>HYPERLINK(SUBSTITUTE(T(hl_0),"{0}","900327535332911"),hn_0)</f>
        <v>ОВ</v>
      </c>
      <c r="B267" s="9">
        <v>4725</v>
      </c>
      <c r="C267" s="11" t="s">
        <v>73</v>
      </c>
      <c r="D267" s="15" t="s">
        <v>123</v>
      </c>
      <c r="E267" s="11" t="s">
        <v>177</v>
      </c>
      <c r="F267" s="12" t="s">
        <v>1599</v>
      </c>
    </row>
    <row r="268" spans="1:6" ht="76.5">
      <c r="A268" s="10" t="str">
        <f>HYPERLINK(SUBSTITUTE(T(hl_0),"{0}","900327597160587"),hn_0)</f>
        <v>ОВ</v>
      </c>
      <c r="B268" s="9">
        <v>5000</v>
      </c>
      <c r="C268" s="11" t="s">
        <v>73</v>
      </c>
      <c r="D268" s="15" t="s">
        <v>117</v>
      </c>
      <c r="E268" s="11" t="s">
        <v>178</v>
      </c>
      <c r="F268" s="12" t="s">
        <v>1599</v>
      </c>
    </row>
    <row r="269" spans="1:6" ht="63.75">
      <c r="A269" s="10" t="str">
        <f>HYPERLINK(SUBSTITUTE(T(hl_0),"{0}","900327467941716"),hn_0)</f>
        <v>ОВ</v>
      </c>
      <c r="B269" s="9">
        <v>5000</v>
      </c>
      <c r="C269" s="11" t="s">
        <v>73</v>
      </c>
      <c r="D269" s="15" t="s">
        <v>131</v>
      </c>
      <c r="E269" s="11" t="s">
        <v>88</v>
      </c>
      <c r="F269" s="12" t="s">
        <v>1599</v>
      </c>
    </row>
    <row r="270" spans="1:6" ht="51">
      <c r="A270" s="10" t="str">
        <f>HYPERLINK(SUBSTITUTE(T(hl_0),"{0}","900327486044090"),hn_0)</f>
        <v>ОВ</v>
      </c>
      <c r="B270" s="9">
        <v>4725</v>
      </c>
      <c r="C270" s="11" t="s">
        <v>73</v>
      </c>
      <c r="D270" s="15" t="s">
        <v>135</v>
      </c>
      <c r="E270" s="11" t="s">
        <v>150</v>
      </c>
      <c r="F270" s="12" t="s">
        <v>1599</v>
      </c>
    </row>
    <row r="271" spans="1:6" ht="38.25">
      <c r="A271" s="10" t="str">
        <f>HYPERLINK(SUBSTITUTE(T(hl_0),"{0}","900327619132664"),hn_0)</f>
        <v>ОВ</v>
      </c>
      <c r="B271" s="9">
        <v>5000</v>
      </c>
      <c r="C271" s="11" t="s">
        <v>73</v>
      </c>
      <c r="D271" s="15" t="s">
        <v>118</v>
      </c>
      <c r="E271" s="11" t="s">
        <v>179</v>
      </c>
      <c r="F271" s="12" t="s">
        <v>1599</v>
      </c>
    </row>
    <row r="272" spans="1:6" ht="51">
      <c r="A272" s="10" t="str">
        <f>HYPERLINK(SUBSTITUTE(T(hl_0),"{0}","900327535676822"),hn_0)</f>
        <v>ОВ</v>
      </c>
      <c r="B272" s="9">
        <v>5000</v>
      </c>
      <c r="C272" s="11" t="s">
        <v>73</v>
      </c>
      <c r="D272" s="15" t="s">
        <v>123</v>
      </c>
      <c r="E272" s="11" t="s">
        <v>180</v>
      </c>
      <c r="F272" s="12" t="s">
        <v>1599</v>
      </c>
    </row>
    <row r="273" spans="1:6" ht="51">
      <c r="A273" s="10" t="str">
        <f>HYPERLINK(SUBSTITUTE(T(hl_0),"{0}","900327362297282"),hn_0)</f>
        <v>ОВ</v>
      </c>
      <c r="B273" s="9">
        <v>5000</v>
      </c>
      <c r="C273" s="11" t="s">
        <v>73</v>
      </c>
      <c r="D273" s="15" t="s">
        <v>120</v>
      </c>
      <c r="E273" s="11" t="s">
        <v>146</v>
      </c>
      <c r="F273" s="12" t="s">
        <v>1599</v>
      </c>
    </row>
    <row r="274" spans="1:6" ht="51">
      <c r="A274" s="10" t="str">
        <f>HYPERLINK(SUBSTITUTE(T(hl_0),"{0}","900327534089472"),hn_0)</f>
        <v>ОВ</v>
      </c>
      <c r="B274" s="9">
        <v>4725</v>
      </c>
      <c r="C274" s="11" t="s">
        <v>73</v>
      </c>
      <c r="D274" s="15" t="s">
        <v>123</v>
      </c>
      <c r="E274" s="11" t="s">
        <v>87</v>
      </c>
      <c r="F274" s="12" t="s">
        <v>1599</v>
      </c>
    </row>
    <row r="275" spans="1:6" ht="38.25">
      <c r="A275" s="10" t="str">
        <f>HYPERLINK(SUBSTITUTE(T(hl_0),"{0}","900327619025441"),hn_0)</f>
        <v>ОВ</v>
      </c>
      <c r="B275" s="9">
        <v>5000</v>
      </c>
      <c r="C275" s="11" t="s">
        <v>73</v>
      </c>
      <c r="D275" s="15" t="s">
        <v>118</v>
      </c>
      <c r="E275" s="11" t="s">
        <v>157</v>
      </c>
      <c r="F275" s="12" t="s">
        <v>1599</v>
      </c>
    </row>
    <row r="276" spans="1:6" ht="51">
      <c r="A276" s="10" t="str">
        <f>HYPERLINK(SUBSTITUTE(T(hl_0),"{0}","900327362303980"),hn_0)</f>
        <v>ОВ</v>
      </c>
      <c r="B276" s="9">
        <v>5000</v>
      </c>
      <c r="C276" s="11" t="s">
        <v>73</v>
      </c>
      <c r="D276" s="15" t="s">
        <v>120</v>
      </c>
      <c r="E276" s="11" t="s">
        <v>161</v>
      </c>
      <c r="F276" s="12" t="s">
        <v>1599</v>
      </c>
    </row>
    <row r="277" spans="1:6" ht="76.5">
      <c r="A277" s="10" t="str">
        <f>HYPERLINK(SUBSTITUTE(T(hl_0),"{0}","900327597792694"),hn_0)</f>
        <v>ОВ</v>
      </c>
      <c r="B277" s="9">
        <v>4725</v>
      </c>
      <c r="C277" s="11" t="s">
        <v>73</v>
      </c>
      <c r="D277" s="15" t="s">
        <v>117</v>
      </c>
      <c r="E277" s="11" t="s">
        <v>112</v>
      </c>
      <c r="F277" s="12" t="s">
        <v>1599</v>
      </c>
    </row>
    <row r="278" spans="1:6" ht="51">
      <c r="A278" s="10" t="str">
        <f>HYPERLINK(SUBSTITUTE(T(hl_0),"{0}","900327362786591"),hn_0)</f>
        <v>ОВ</v>
      </c>
      <c r="B278" s="9">
        <v>4725</v>
      </c>
      <c r="C278" s="11" t="s">
        <v>73</v>
      </c>
      <c r="D278" s="15" t="s">
        <v>120</v>
      </c>
      <c r="E278" s="11" t="s">
        <v>181</v>
      </c>
      <c r="F278" s="12" t="s">
        <v>1599</v>
      </c>
    </row>
    <row r="279" spans="1:6" ht="63.75">
      <c r="A279" s="10" t="str">
        <f>HYPERLINK(SUBSTITUTE(T(hl_0),"{0}","900327468024745"),hn_0)</f>
        <v>ОВ</v>
      </c>
      <c r="B279" s="9">
        <v>4725</v>
      </c>
      <c r="C279" s="11" t="s">
        <v>73</v>
      </c>
      <c r="D279" s="15" t="s">
        <v>131</v>
      </c>
      <c r="E279" s="11" t="s">
        <v>168</v>
      </c>
      <c r="F279" s="12" t="s">
        <v>1599</v>
      </c>
    </row>
    <row r="280" spans="1:6" ht="51">
      <c r="A280" s="10" t="str">
        <f>HYPERLINK(SUBSTITUTE(T(hl_0),"{0}","900327486962375"),hn_0)</f>
        <v>ОВ</v>
      </c>
      <c r="B280" s="9">
        <v>5000</v>
      </c>
      <c r="C280" s="11" t="s">
        <v>73</v>
      </c>
      <c r="D280" s="15" t="s">
        <v>135</v>
      </c>
      <c r="E280" s="11" t="s">
        <v>152</v>
      </c>
      <c r="F280" s="12" t="s">
        <v>1599</v>
      </c>
    </row>
    <row r="281" spans="1:6" ht="63.75">
      <c r="A281" s="10" t="str">
        <f>HYPERLINK(SUBSTITUTE(T(hl_0),"{0}","900327467891702"),hn_0)</f>
        <v>ОВ</v>
      </c>
      <c r="B281" s="9">
        <v>4725</v>
      </c>
      <c r="C281" s="11" t="s">
        <v>73</v>
      </c>
      <c r="D281" s="15" t="s">
        <v>131</v>
      </c>
      <c r="E281" s="11" t="s">
        <v>152</v>
      </c>
      <c r="F281" s="12" t="s">
        <v>1599</v>
      </c>
    </row>
    <row r="282" spans="1:6" ht="51">
      <c r="A282" s="10" t="str">
        <f>HYPERLINK(SUBSTITUTE(T(hl_0),"{0}","900327535590788"),hn_0)</f>
        <v>ОВ</v>
      </c>
      <c r="B282" s="9">
        <v>4725</v>
      </c>
      <c r="C282" s="11" t="s">
        <v>73</v>
      </c>
      <c r="D282" s="15" t="s">
        <v>123</v>
      </c>
      <c r="E282" s="11" t="s">
        <v>105</v>
      </c>
      <c r="F282" s="12" t="s">
        <v>1599</v>
      </c>
    </row>
    <row r="283" spans="1:6" ht="76.5">
      <c r="A283" s="10" t="str">
        <f>HYPERLINK(SUBSTITUTE(T(hl_0),"{0}","900327598487151"),hn_0)</f>
        <v>ОВ</v>
      </c>
      <c r="B283" s="9">
        <v>5000</v>
      </c>
      <c r="C283" s="11" t="s">
        <v>73</v>
      </c>
      <c r="D283" s="15" t="s">
        <v>117</v>
      </c>
      <c r="E283" s="11" t="s">
        <v>122</v>
      </c>
      <c r="F283" s="12" t="s">
        <v>1599</v>
      </c>
    </row>
    <row r="284" spans="1:6" ht="38.25">
      <c r="A284" s="10" t="str">
        <f>HYPERLINK(SUBSTITUTE(T(hl_0),"{0}","900327619033343"),hn_0)</f>
        <v>ОВ</v>
      </c>
      <c r="B284" s="9">
        <v>5000</v>
      </c>
      <c r="C284" s="11" t="s">
        <v>73</v>
      </c>
      <c r="D284" s="15" t="s">
        <v>118</v>
      </c>
      <c r="E284" s="11" t="s">
        <v>157</v>
      </c>
      <c r="F284" s="12" t="s">
        <v>1599</v>
      </c>
    </row>
    <row r="285" spans="1:6" ht="51">
      <c r="A285" s="10" t="str">
        <f>HYPERLINK(SUBSTITUTE(T(hl_0),"{0}","900327534766111"),hn_0)</f>
        <v>ОВ</v>
      </c>
      <c r="B285" s="9">
        <v>5000</v>
      </c>
      <c r="C285" s="11" t="s">
        <v>73</v>
      </c>
      <c r="D285" s="15" t="s">
        <v>123</v>
      </c>
      <c r="E285" s="11" t="s">
        <v>142</v>
      </c>
      <c r="F285" s="12" t="s">
        <v>1599</v>
      </c>
    </row>
    <row r="286" spans="1:6" ht="76.5">
      <c r="A286" s="10" t="str">
        <f>HYPERLINK(SUBSTITUTE(T(hl_0),"{0}","900327598649125"),hn_0)</f>
        <v>ОВ</v>
      </c>
      <c r="B286" s="9">
        <v>5000</v>
      </c>
      <c r="C286" s="11" t="s">
        <v>73</v>
      </c>
      <c r="D286" s="15" t="s">
        <v>117</v>
      </c>
      <c r="E286" s="11" t="s">
        <v>91</v>
      </c>
      <c r="F286" s="12" t="s">
        <v>1599</v>
      </c>
    </row>
    <row r="287" spans="1:6" ht="51">
      <c r="A287" s="10" t="str">
        <f>HYPERLINK(SUBSTITUTE(T(hl_0),"{0}","900327359515331"),hn_0)</f>
        <v>ОВ</v>
      </c>
      <c r="B287" s="9">
        <v>5000</v>
      </c>
      <c r="C287" s="11" t="s">
        <v>73</v>
      </c>
      <c r="D287" s="15" t="s">
        <v>120</v>
      </c>
      <c r="E287" s="11" t="s">
        <v>147</v>
      </c>
      <c r="F287" s="12" t="s">
        <v>1599</v>
      </c>
    </row>
    <row r="288" spans="1:6" ht="76.5">
      <c r="A288" s="10" t="str">
        <f>HYPERLINK(SUBSTITUTE(T(hl_0),"{0}","900327599098909"),hn_0)</f>
        <v>ОВ</v>
      </c>
      <c r="B288" s="9">
        <v>5000</v>
      </c>
      <c r="C288" s="11" t="s">
        <v>73</v>
      </c>
      <c r="D288" s="15" t="s">
        <v>117</v>
      </c>
      <c r="E288" s="11" t="s">
        <v>112</v>
      </c>
      <c r="F288" s="12" t="s">
        <v>1599</v>
      </c>
    </row>
    <row r="289" spans="1:6" ht="51">
      <c r="A289" s="10" t="str">
        <f>HYPERLINK(SUBSTITUTE(T(hl_0),"{0}","900327359971088"),hn_0)</f>
        <v>ОВ</v>
      </c>
      <c r="B289" s="9">
        <v>5000</v>
      </c>
      <c r="C289" s="11" t="s">
        <v>73</v>
      </c>
      <c r="D289" s="15" t="s">
        <v>120</v>
      </c>
      <c r="E289" s="11" t="s">
        <v>182</v>
      </c>
      <c r="F289" s="12" t="s">
        <v>1599</v>
      </c>
    </row>
    <row r="290" spans="1:6" ht="51">
      <c r="A290" s="10" t="str">
        <f>HYPERLINK(SUBSTITUTE(T(hl_0),"{0}","900327536250444"),hn_0)</f>
        <v>ОВ</v>
      </c>
      <c r="B290" s="9">
        <v>5000</v>
      </c>
      <c r="C290" s="11" t="s">
        <v>73</v>
      </c>
      <c r="D290" s="15" t="s">
        <v>123</v>
      </c>
      <c r="E290" s="11" t="s">
        <v>183</v>
      </c>
      <c r="F290" s="12" t="s">
        <v>1599</v>
      </c>
    </row>
    <row r="291" spans="1:6" ht="76.5">
      <c r="A291" s="10" t="str">
        <f>HYPERLINK(SUBSTITUTE(T(hl_0),"{0}","900327597324880"),hn_0)</f>
        <v>ОВ</v>
      </c>
      <c r="B291" s="9">
        <v>4725</v>
      </c>
      <c r="C291" s="11" t="s">
        <v>73</v>
      </c>
      <c r="D291" s="15" t="s">
        <v>117</v>
      </c>
      <c r="E291" s="11" t="s">
        <v>184</v>
      </c>
      <c r="F291" s="12" t="s">
        <v>1599</v>
      </c>
    </row>
    <row r="292" spans="1:6" ht="76.5">
      <c r="A292" s="10" t="str">
        <f>HYPERLINK(SUBSTITUTE(T(hl_0),"{0}","900327597341617"),hn_0)</f>
        <v>ОВ</v>
      </c>
      <c r="B292" s="9">
        <v>4725</v>
      </c>
      <c r="C292" s="11" t="s">
        <v>73</v>
      </c>
      <c r="D292" s="15" t="s">
        <v>117</v>
      </c>
      <c r="E292" s="11" t="s">
        <v>148</v>
      </c>
      <c r="F292" s="12" t="s">
        <v>1599</v>
      </c>
    </row>
    <row r="293" spans="1:6" ht="51">
      <c r="A293" s="10" t="str">
        <f>HYPERLINK(SUBSTITUTE(T(hl_0),"{0}","900327359566100"),hn_0)</f>
        <v>ОВ</v>
      </c>
      <c r="B293" s="9">
        <v>5000</v>
      </c>
      <c r="C293" s="11" t="s">
        <v>73</v>
      </c>
      <c r="D293" s="15" t="s">
        <v>120</v>
      </c>
      <c r="E293" s="11" t="s">
        <v>173</v>
      </c>
      <c r="F293" s="12" t="s">
        <v>1599</v>
      </c>
    </row>
    <row r="294" spans="1:6" ht="76.5">
      <c r="A294" s="10" t="str">
        <f>HYPERLINK(SUBSTITUTE(T(hl_0),"{0}","900327595369910"),hn_0)</f>
        <v>ОВ</v>
      </c>
      <c r="B294" s="9">
        <v>4725</v>
      </c>
      <c r="C294" s="11" t="s">
        <v>73</v>
      </c>
      <c r="D294" s="15" t="s">
        <v>117</v>
      </c>
      <c r="E294" s="11" t="s">
        <v>112</v>
      </c>
      <c r="F294" s="12" t="s">
        <v>1599</v>
      </c>
    </row>
    <row r="295" spans="1:6" ht="76.5">
      <c r="A295" s="10" t="str">
        <f>HYPERLINK(SUBSTITUTE(T(hl_0),"{0}","900327597356117"),hn_0)</f>
        <v>ОВ</v>
      </c>
      <c r="B295" s="9">
        <v>4725</v>
      </c>
      <c r="C295" s="11" t="s">
        <v>73</v>
      </c>
      <c r="D295" s="15" t="s">
        <v>117</v>
      </c>
      <c r="E295" s="11" t="s">
        <v>148</v>
      </c>
      <c r="F295" s="12" t="s">
        <v>1599</v>
      </c>
    </row>
    <row r="296" spans="1:6" ht="51">
      <c r="A296" s="10" t="str">
        <f>HYPERLINK(SUBSTITUTE(T(hl_0),"{0}","900327597452304"),hn_0)</f>
        <v>ОВ</v>
      </c>
      <c r="B296" s="9">
        <v>5000</v>
      </c>
      <c r="C296" s="11" t="s">
        <v>73</v>
      </c>
      <c r="D296" s="15" t="s">
        <v>185</v>
      </c>
      <c r="E296" s="11" t="s">
        <v>186</v>
      </c>
      <c r="F296" s="12" t="s">
        <v>1599</v>
      </c>
    </row>
    <row r="297" spans="1:6" ht="38.25">
      <c r="A297" s="10" t="str">
        <f>HYPERLINK(SUBSTITUTE(T(hl_0),"{0}","900327619748663"),hn_0)</f>
        <v>ОВ</v>
      </c>
      <c r="B297" s="9">
        <v>4725</v>
      </c>
      <c r="C297" s="11" t="s">
        <v>73</v>
      </c>
      <c r="D297" s="15" t="s">
        <v>118</v>
      </c>
      <c r="E297" s="11" t="s">
        <v>94</v>
      </c>
      <c r="F297" s="12" t="s">
        <v>1599</v>
      </c>
    </row>
    <row r="298" spans="1:6" ht="51">
      <c r="A298" s="10" t="str">
        <f>HYPERLINK(SUBSTITUTE(T(hl_0),"{0}","900327598284012"),hn_0)</f>
        <v>ОВ</v>
      </c>
      <c r="B298" s="9">
        <v>5000</v>
      </c>
      <c r="C298" s="11" t="s">
        <v>73</v>
      </c>
      <c r="D298" s="15" t="s">
        <v>185</v>
      </c>
      <c r="E298" s="11" t="s">
        <v>112</v>
      </c>
      <c r="F298" s="12" t="s">
        <v>1599</v>
      </c>
    </row>
    <row r="299" spans="1:6" ht="51">
      <c r="A299" s="10" t="str">
        <f>HYPERLINK(SUBSTITUTE(T(hl_0),"{0}","900327534833690"),hn_0)</f>
        <v>ОВ</v>
      </c>
      <c r="B299" s="9">
        <v>5000</v>
      </c>
      <c r="C299" s="11" t="s">
        <v>73</v>
      </c>
      <c r="D299" s="15" t="s">
        <v>123</v>
      </c>
      <c r="E299" s="11" t="s">
        <v>142</v>
      </c>
      <c r="F299" s="12" t="s">
        <v>1599</v>
      </c>
    </row>
    <row r="300" spans="1:6" ht="38.25">
      <c r="A300" s="10" t="str">
        <f>HYPERLINK(SUBSTITUTE(T(hl_0),"{0}","900327619121676"),hn_0)</f>
        <v>ОВ</v>
      </c>
      <c r="B300" s="9">
        <v>5000</v>
      </c>
      <c r="C300" s="11" t="s">
        <v>73</v>
      </c>
      <c r="D300" s="15" t="s">
        <v>118</v>
      </c>
      <c r="E300" s="11" t="s">
        <v>179</v>
      </c>
      <c r="F300" s="12" t="s">
        <v>1599</v>
      </c>
    </row>
    <row r="301" spans="1:6" ht="51">
      <c r="A301" s="10" t="str">
        <f>HYPERLINK(SUBSTITUTE(T(hl_0),"{0}","900327596336815"),hn_0)</f>
        <v>ОВ</v>
      </c>
      <c r="B301" s="9">
        <v>4725</v>
      </c>
      <c r="C301" s="11" t="s">
        <v>73</v>
      </c>
      <c r="D301" s="15" t="s">
        <v>185</v>
      </c>
      <c r="E301" s="11" t="s">
        <v>187</v>
      </c>
      <c r="F301" s="12" t="s">
        <v>1599</v>
      </c>
    </row>
    <row r="302" spans="1:6" ht="51">
      <c r="A302" s="10" t="str">
        <f>HYPERLINK(SUBSTITUTE(T(hl_0),"{0}","900327534089435"),hn_0)</f>
        <v>ОВ</v>
      </c>
      <c r="B302" s="9">
        <v>5000</v>
      </c>
      <c r="C302" s="11" t="s">
        <v>73</v>
      </c>
      <c r="D302" s="15" t="s">
        <v>123</v>
      </c>
      <c r="E302" s="11" t="s">
        <v>87</v>
      </c>
      <c r="F302" s="12" t="s">
        <v>1599</v>
      </c>
    </row>
    <row r="303" spans="1:6" ht="51">
      <c r="A303" s="10" t="str">
        <f>HYPERLINK(SUBSTITUTE(T(hl_0),"{0}","900327598005064"),hn_0)</f>
        <v>ОВ</v>
      </c>
      <c r="B303" s="9">
        <v>4725</v>
      </c>
      <c r="C303" s="11" t="s">
        <v>73</v>
      </c>
      <c r="D303" s="15" t="s">
        <v>185</v>
      </c>
      <c r="E303" s="11" t="s">
        <v>94</v>
      </c>
      <c r="F303" s="12" t="s">
        <v>1599</v>
      </c>
    </row>
    <row r="304" spans="1:6" ht="51">
      <c r="A304" s="10" t="str">
        <f>HYPERLINK(SUBSTITUTE(T(hl_0),"{0}","900327598096518"),hn_0)</f>
        <v>ОВ</v>
      </c>
      <c r="B304" s="9">
        <v>4725</v>
      </c>
      <c r="C304" s="11" t="s">
        <v>73</v>
      </c>
      <c r="D304" s="15" t="s">
        <v>185</v>
      </c>
      <c r="E304" s="11" t="s">
        <v>94</v>
      </c>
      <c r="F304" s="12" t="s">
        <v>1599</v>
      </c>
    </row>
    <row r="305" spans="1:6" ht="63.75">
      <c r="A305" s="10" t="str">
        <f>HYPERLINK(SUBSTITUTE(T(hl_0),"{0}","900327512966719"),hn_0)</f>
        <v>ОВ</v>
      </c>
      <c r="B305" s="9">
        <v>5000</v>
      </c>
      <c r="C305" s="11" t="s">
        <v>73</v>
      </c>
      <c r="D305" s="15" t="s">
        <v>125</v>
      </c>
      <c r="E305" s="11" t="s">
        <v>115</v>
      </c>
      <c r="F305" s="12" t="s">
        <v>1599</v>
      </c>
    </row>
    <row r="306" spans="1:6" ht="63.75">
      <c r="A306" s="10" t="str">
        <f>HYPERLINK(SUBSTITUTE(T(hl_0),"{0}","900327513065901"),hn_0)</f>
        <v>ОВ</v>
      </c>
      <c r="B306" s="9">
        <v>4725</v>
      </c>
      <c r="C306" s="11" t="s">
        <v>73</v>
      </c>
      <c r="D306" s="15" t="s">
        <v>125</v>
      </c>
      <c r="E306" s="11" t="s">
        <v>188</v>
      </c>
      <c r="F306" s="12" t="s">
        <v>1599</v>
      </c>
    </row>
    <row r="307" spans="1:6" ht="63.75">
      <c r="A307" s="10" t="str">
        <f>HYPERLINK(SUBSTITUTE(T(hl_0),"{0}","900327513106993"),hn_0)</f>
        <v>ОВ</v>
      </c>
      <c r="B307" s="9">
        <v>4725</v>
      </c>
      <c r="C307" s="11" t="s">
        <v>73</v>
      </c>
      <c r="D307" s="15" t="s">
        <v>125</v>
      </c>
      <c r="E307" s="11" t="s">
        <v>189</v>
      </c>
      <c r="F307" s="12" t="s">
        <v>1599</v>
      </c>
    </row>
    <row r="308" spans="1:6" ht="51">
      <c r="A308" s="10" t="str">
        <f>HYPERLINK(SUBSTITUTE(T(hl_0),"{0}","900327597309806"),hn_0)</f>
        <v>ОВ</v>
      </c>
      <c r="B308" s="9">
        <v>4725</v>
      </c>
      <c r="C308" s="11" t="s">
        <v>73</v>
      </c>
      <c r="D308" s="15" t="s">
        <v>185</v>
      </c>
      <c r="E308" s="11" t="s">
        <v>104</v>
      </c>
      <c r="F308" s="12" t="s">
        <v>1599</v>
      </c>
    </row>
    <row r="309" spans="1:6" ht="51">
      <c r="A309" s="10" t="str">
        <f>HYPERLINK(SUBSTITUTE(T(hl_0),"{0}","900327599038908"),hn_0)</f>
        <v>ОВ</v>
      </c>
      <c r="B309" s="9">
        <v>5000</v>
      </c>
      <c r="C309" s="11" t="s">
        <v>73</v>
      </c>
      <c r="D309" s="15" t="s">
        <v>185</v>
      </c>
      <c r="E309" s="11" t="s">
        <v>190</v>
      </c>
      <c r="F309" s="12" t="s">
        <v>1599</v>
      </c>
    </row>
    <row r="310" spans="1:6" ht="38.25">
      <c r="A310" s="10" t="str">
        <f>HYPERLINK(SUBSTITUTE(T(hl_0),"{0}","900327619106304"),hn_0)</f>
        <v>ОВ</v>
      </c>
      <c r="B310" s="9">
        <v>5000</v>
      </c>
      <c r="C310" s="11" t="s">
        <v>73</v>
      </c>
      <c r="D310" s="15" t="s">
        <v>118</v>
      </c>
      <c r="E310" s="11" t="s">
        <v>160</v>
      </c>
      <c r="F310" s="12" t="s">
        <v>1599</v>
      </c>
    </row>
    <row r="311" spans="1:6" ht="51">
      <c r="A311" s="10" t="str">
        <f>HYPERLINK(SUBSTITUTE(T(hl_0),"{0}","900327597907429"),hn_0)</f>
        <v>ОВ</v>
      </c>
      <c r="B311" s="9">
        <v>4725</v>
      </c>
      <c r="C311" s="11" t="s">
        <v>73</v>
      </c>
      <c r="D311" s="15" t="s">
        <v>185</v>
      </c>
      <c r="E311" s="11" t="s">
        <v>108</v>
      </c>
      <c r="F311" s="12" t="s">
        <v>1599</v>
      </c>
    </row>
    <row r="312" spans="1:6" ht="51">
      <c r="A312" s="10" t="str">
        <f>HYPERLINK(SUBSTITUTE(T(hl_0),"{0}","900327535922438"),hn_0)</f>
        <v>ОВ</v>
      </c>
      <c r="B312" s="9">
        <v>4725</v>
      </c>
      <c r="C312" s="11" t="s">
        <v>73</v>
      </c>
      <c r="D312" s="15" t="s">
        <v>123</v>
      </c>
      <c r="E312" s="11" t="s">
        <v>142</v>
      </c>
      <c r="F312" s="12" t="s">
        <v>1599</v>
      </c>
    </row>
    <row r="313" spans="1:6" ht="51">
      <c r="A313" s="10" t="str">
        <f>HYPERLINK(SUBSTITUTE(T(hl_0),"{0}","900327536267332"),hn_0)</f>
        <v>ОВ</v>
      </c>
      <c r="B313" s="9">
        <v>5000</v>
      </c>
      <c r="C313" s="11" t="s">
        <v>73</v>
      </c>
      <c r="D313" s="15" t="s">
        <v>123</v>
      </c>
      <c r="E313" s="11" t="s">
        <v>183</v>
      </c>
      <c r="F313" s="12" t="s">
        <v>1599</v>
      </c>
    </row>
    <row r="314" spans="1:6" ht="51">
      <c r="A314" s="10" t="str">
        <f>HYPERLINK(SUBSTITUTE(T(hl_0),"{0}","900327598222466"),hn_0)</f>
        <v>ОВ</v>
      </c>
      <c r="B314" s="9">
        <v>4725</v>
      </c>
      <c r="C314" s="11" t="s">
        <v>73</v>
      </c>
      <c r="D314" s="15" t="s">
        <v>185</v>
      </c>
      <c r="E314" s="11" t="s">
        <v>112</v>
      </c>
      <c r="F314" s="12" t="s">
        <v>1599</v>
      </c>
    </row>
    <row r="315" spans="1:6" ht="51">
      <c r="A315" s="10" t="str">
        <f>HYPERLINK(SUBSTITUTE(T(hl_0),"{0}","900327597863485"),hn_0)</f>
        <v>ОВ</v>
      </c>
      <c r="B315" s="9">
        <v>4725</v>
      </c>
      <c r="C315" s="11" t="s">
        <v>73</v>
      </c>
      <c r="D315" s="15" t="s">
        <v>185</v>
      </c>
      <c r="E315" s="11" t="s">
        <v>129</v>
      </c>
      <c r="F315" s="12" t="s">
        <v>1599</v>
      </c>
    </row>
    <row r="316" spans="1:6" ht="51">
      <c r="A316" s="10" t="str">
        <f>HYPERLINK(SUBSTITUTE(T(hl_0),"{0}","900327597904181"),hn_0)</f>
        <v>ОВ</v>
      </c>
      <c r="B316" s="9">
        <v>4725</v>
      </c>
      <c r="C316" s="11" t="s">
        <v>73</v>
      </c>
      <c r="D316" s="15" t="s">
        <v>185</v>
      </c>
      <c r="E316" s="11" t="s">
        <v>165</v>
      </c>
      <c r="F316" s="12" t="s">
        <v>1599</v>
      </c>
    </row>
    <row r="317" spans="1:6" ht="51">
      <c r="A317" s="10" t="str">
        <f>HYPERLINK(SUBSTITUTE(T(hl_0),"{0}","900327597510647"),hn_0)</f>
        <v>ОВ</v>
      </c>
      <c r="B317" s="9">
        <v>5000</v>
      </c>
      <c r="C317" s="11" t="s">
        <v>73</v>
      </c>
      <c r="D317" s="15" t="s">
        <v>185</v>
      </c>
      <c r="E317" s="11" t="s">
        <v>187</v>
      </c>
      <c r="F317" s="12" t="s">
        <v>1599</v>
      </c>
    </row>
    <row r="318" spans="1:6" ht="51">
      <c r="A318" s="10" t="str">
        <f>HYPERLINK(SUBSTITUTE(T(hl_0),"{0}","900327534628859"),hn_0)</f>
        <v>ОВ</v>
      </c>
      <c r="B318" s="9">
        <v>5000</v>
      </c>
      <c r="C318" s="11" t="s">
        <v>73</v>
      </c>
      <c r="D318" s="15" t="s">
        <v>123</v>
      </c>
      <c r="E318" s="11" t="s">
        <v>191</v>
      </c>
      <c r="F318" s="12" t="s">
        <v>1599</v>
      </c>
    </row>
    <row r="319" spans="1:6" ht="51">
      <c r="A319" s="10" t="str">
        <f>HYPERLINK(SUBSTITUTE(T(hl_0),"{0}","900327362480621"),hn_0)</f>
        <v>ОВ</v>
      </c>
      <c r="B319" s="9">
        <v>5000</v>
      </c>
      <c r="C319" s="11" t="s">
        <v>73</v>
      </c>
      <c r="D319" s="15" t="s">
        <v>120</v>
      </c>
      <c r="E319" s="11" t="s">
        <v>140</v>
      </c>
      <c r="F319" s="12" t="s">
        <v>1599</v>
      </c>
    </row>
    <row r="320" spans="1:6" ht="51">
      <c r="A320" s="10" t="str">
        <f>HYPERLINK(SUBSTITUTE(T(hl_0),"{0}","900327598693948"),hn_0)</f>
        <v>ОВ</v>
      </c>
      <c r="B320" s="9">
        <v>5000</v>
      </c>
      <c r="C320" s="11" t="s">
        <v>73</v>
      </c>
      <c r="D320" s="15" t="s">
        <v>185</v>
      </c>
      <c r="E320" s="11" t="s">
        <v>192</v>
      </c>
      <c r="F320" s="12" t="s">
        <v>1599</v>
      </c>
    </row>
    <row r="321" spans="1:6" ht="51">
      <c r="A321" s="10" t="str">
        <f>HYPERLINK(SUBSTITUTE(T(hl_0),"{0}","900327597182077"),hn_0)</f>
        <v>ОВ</v>
      </c>
      <c r="B321" s="9">
        <v>5000</v>
      </c>
      <c r="C321" s="11" t="s">
        <v>73</v>
      </c>
      <c r="D321" s="15" t="s">
        <v>185</v>
      </c>
      <c r="E321" s="11" t="s">
        <v>171</v>
      </c>
      <c r="F321" s="12" t="s">
        <v>1599</v>
      </c>
    </row>
    <row r="322" spans="1:6" ht="63.75">
      <c r="A322" s="10" t="str">
        <f>HYPERLINK(SUBSTITUTE(T(hl_0),"{0}","900327467663825"),hn_0)</f>
        <v>ОВ</v>
      </c>
      <c r="B322" s="9">
        <v>5000</v>
      </c>
      <c r="C322" s="11" t="s">
        <v>73</v>
      </c>
      <c r="D322" s="15" t="s">
        <v>131</v>
      </c>
      <c r="E322" s="11" t="s">
        <v>88</v>
      </c>
      <c r="F322" s="12" t="s">
        <v>1599</v>
      </c>
    </row>
    <row r="323" spans="1:6" ht="63.75">
      <c r="A323" s="10" t="str">
        <f>HYPERLINK(SUBSTITUTE(T(hl_0),"{0}","900327513024500"),hn_0)</f>
        <v>ОВ</v>
      </c>
      <c r="B323" s="9">
        <v>4725</v>
      </c>
      <c r="C323" s="11" t="s">
        <v>73</v>
      </c>
      <c r="D323" s="15" t="s">
        <v>125</v>
      </c>
      <c r="E323" s="11" t="s">
        <v>193</v>
      </c>
      <c r="F323" s="12" t="s">
        <v>1599</v>
      </c>
    </row>
    <row r="324" spans="1:6" ht="51">
      <c r="A324" s="10" t="str">
        <f>HYPERLINK(SUBSTITUTE(T(hl_0),"{0}","900327487627340"),hn_0)</f>
        <v>ОВ</v>
      </c>
      <c r="B324" s="9">
        <v>5000</v>
      </c>
      <c r="C324" s="11" t="s">
        <v>73</v>
      </c>
      <c r="D324" s="15" t="s">
        <v>135</v>
      </c>
      <c r="E324" s="11" t="s">
        <v>156</v>
      </c>
      <c r="F324" s="12" t="s">
        <v>1599</v>
      </c>
    </row>
    <row r="325" spans="1:6" ht="51">
      <c r="A325" s="10" t="str">
        <f>HYPERLINK(SUBSTITUTE(T(hl_0),"{0}","900327487834546"),hn_0)</f>
        <v>ОВ</v>
      </c>
      <c r="B325" s="9">
        <v>5000</v>
      </c>
      <c r="C325" s="11" t="s">
        <v>73</v>
      </c>
      <c r="D325" s="15" t="s">
        <v>135</v>
      </c>
      <c r="E325" s="11" t="s">
        <v>134</v>
      </c>
      <c r="F325" s="12" t="s">
        <v>1599</v>
      </c>
    </row>
    <row r="326" spans="1:6" ht="51">
      <c r="A326" s="10" t="str">
        <f>HYPERLINK(SUBSTITUTE(T(hl_0),"{0}","900327598763012"),hn_0)</f>
        <v>ОВ</v>
      </c>
      <c r="B326" s="9">
        <v>5000</v>
      </c>
      <c r="C326" s="11" t="s">
        <v>73</v>
      </c>
      <c r="D326" s="15" t="s">
        <v>185</v>
      </c>
      <c r="E326" s="11" t="s">
        <v>75</v>
      </c>
      <c r="F326" s="12" t="s">
        <v>1599</v>
      </c>
    </row>
    <row r="327" spans="1:6" ht="63.75">
      <c r="A327" s="10" t="str">
        <f>HYPERLINK(SUBSTITUTE(T(hl_0),"{0}","900327467644351"),hn_0)</f>
        <v>ОВ</v>
      </c>
      <c r="B327" s="9">
        <v>5000</v>
      </c>
      <c r="C327" s="11" t="s">
        <v>73</v>
      </c>
      <c r="D327" s="15" t="s">
        <v>131</v>
      </c>
      <c r="E327" s="11" t="s">
        <v>88</v>
      </c>
      <c r="F327" s="12" t="s">
        <v>1599</v>
      </c>
    </row>
    <row r="328" spans="1:6" ht="63.75">
      <c r="A328" s="10" t="str">
        <f>HYPERLINK(SUBSTITUTE(T(hl_0),"{0}","900327467663843"),hn_0)</f>
        <v>ОВ</v>
      </c>
      <c r="B328" s="9">
        <v>5000</v>
      </c>
      <c r="C328" s="11" t="s">
        <v>73</v>
      </c>
      <c r="D328" s="15" t="s">
        <v>131</v>
      </c>
      <c r="E328" s="11" t="s">
        <v>88</v>
      </c>
      <c r="F328" s="12" t="s">
        <v>1599</v>
      </c>
    </row>
    <row r="329" spans="1:6" ht="63.75">
      <c r="A329" s="10" t="str">
        <f>HYPERLINK(SUBSTITUTE(T(hl_0),"{0}","900327467703392"),hn_0)</f>
        <v>ОВ</v>
      </c>
      <c r="B329" s="9">
        <v>4725</v>
      </c>
      <c r="C329" s="11" t="s">
        <v>73</v>
      </c>
      <c r="D329" s="15" t="s">
        <v>131</v>
      </c>
      <c r="E329" s="11" t="s">
        <v>194</v>
      </c>
      <c r="F329" s="12" t="s">
        <v>1599</v>
      </c>
    </row>
    <row r="330" spans="1:6" ht="63.75">
      <c r="A330" s="10" t="str">
        <f>HYPERLINK(SUBSTITUTE(T(hl_0),"{0}","900327467569264"),hn_0)</f>
        <v>ОВ</v>
      </c>
      <c r="B330" s="9">
        <v>5000</v>
      </c>
      <c r="C330" s="11" t="s">
        <v>73</v>
      </c>
      <c r="D330" s="15" t="s">
        <v>131</v>
      </c>
      <c r="E330" s="11" t="s">
        <v>114</v>
      </c>
      <c r="F330" s="12" t="s">
        <v>1599</v>
      </c>
    </row>
    <row r="331" spans="1:6" ht="63.75">
      <c r="A331" s="10" t="str">
        <f>HYPERLINK(SUBSTITUTE(T(hl_0),"{0}","900327513180462"),hn_0)</f>
        <v>ОВ</v>
      </c>
      <c r="B331" s="9">
        <v>5000</v>
      </c>
      <c r="C331" s="11" t="s">
        <v>73</v>
      </c>
      <c r="D331" s="15" t="s">
        <v>125</v>
      </c>
      <c r="E331" s="11" t="s">
        <v>126</v>
      </c>
      <c r="F331" s="12" t="s">
        <v>1599</v>
      </c>
    </row>
    <row r="332" spans="1:6" ht="51">
      <c r="A332" s="10" t="str">
        <f>HYPERLINK(SUBSTITUTE(T(hl_0),"{0}","900327596418883"),hn_0)</f>
        <v>ОВ</v>
      </c>
      <c r="B332" s="9">
        <v>5000</v>
      </c>
      <c r="C332" s="11" t="s">
        <v>73</v>
      </c>
      <c r="D332" s="15" t="s">
        <v>185</v>
      </c>
      <c r="E332" s="11" t="s">
        <v>195</v>
      </c>
      <c r="F332" s="12" t="s">
        <v>1599</v>
      </c>
    </row>
    <row r="333" spans="1:6" ht="51">
      <c r="A333" s="10" t="str">
        <f>HYPERLINK(SUBSTITUTE(T(hl_0),"{0}","900327596510724"),hn_0)</f>
        <v>ОВ</v>
      </c>
      <c r="B333" s="9">
        <v>4725</v>
      </c>
      <c r="C333" s="11" t="s">
        <v>73</v>
      </c>
      <c r="D333" s="15" t="s">
        <v>185</v>
      </c>
      <c r="E333" s="11" t="s">
        <v>178</v>
      </c>
      <c r="F333" s="12" t="s">
        <v>1599</v>
      </c>
    </row>
    <row r="334" spans="1:6" ht="63.75">
      <c r="A334" s="10" t="str">
        <f>HYPERLINK(SUBSTITUTE(T(hl_0),"{0}","900327468022295"),hn_0)</f>
        <v>ОВ</v>
      </c>
      <c r="B334" s="9">
        <v>5000</v>
      </c>
      <c r="C334" s="11" t="s">
        <v>73</v>
      </c>
      <c r="D334" s="15" t="s">
        <v>131</v>
      </c>
      <c r="E334" s="11" t="s">
        <v>167</v>
      </c>
      <c r="F334" s="12" t="s">
        <v>1599</v>
      </c>
    </row>
    <row r="335" spans="1:6" ht="51">
      <c r="A335" s="10" t="str">
        <f>HYPERLINK(SUBSTITUTE(T(hl_0),"{0}","900327486053249"),hn_0)</f>
        <v>ОВ</v>
      </c>
      <c r="B335" s="9">
        <v>4725</v>
      </c>
      <c r="C335" s="11" t="s">
        <v>73</v>
      </c>
      <c r="D335" s="15" t="s">
        <v>135</v>
      </c>
      <c r="E335" s="11" t="s">
        <v>150</v>
      </c>
      <c r="F335" s="12" t="s">
        <v>1599</v>
      </c>
    </row>
    <row r="336" spans="1:6" ht="51">
      <c r="A336" s="10" t="str">
        <f>HYPERLINK(SUBSTITUTE(T(hl_0),"{0}","900327486053259"),hn_0)</f>
        <v>ОВ</v>
      </c>
      <c r="B336" s="9">
        <v>4725</v>
      </c>
      <c r="C336" s="11" t="s">
        <v>73</v>
      </c>
      <c r="D336" s="15" t="s">
        <v>135</v>
      </c>
      <c r="E336" s="11" t="s">
        <v>150</v>
      </c>
      <c r="F336" s="12" t="s">
        <v>1599</v>
      </c>
    </row>
    <row r="337" spans="1:6" ht="51">
      <c r="A337" s="10" t="str">
        <f>HYPERLINK(SUBSTITUTE(T(hl_0),"{0}","900327488240585"),hn_0)</f>
        <v>ОВ</v>
      </c>
      <c r="B337" s="9">
        <v>5000</v>
      </c>
      <c r="C337" s="11" t="s">
        <v>73</v>
      </c>
      <c r="D337" s="15" t="s">
        <v>135</v>
      </c>
      <c r="E337" s="11" t="s">
        <v>145</v>
      </c>
      <c r="F337" s="12" t="s">
        <v>1599</v>
      </c>
    </row>
    <row r="338" spans="1:6" ht="51">
      <c r="A338" s="10" t="str">
        <f>HYPERLINK(SUBSTITUTE(T(hl_0),"{0}","900327535410736"),hn_0)</f>
        <v>ОВ</v>
      </c>
      <c r="B338" s="9">
        <v>4725</v>
      </c>
      <c r="C338" s="11" t="s">
        <v>73</v>
      </c>
      <c r="D338" s="15" t="s">
        <v>123</v>
      </c>
      <c r="E338" s="11" t="s">
        <v>87</v>
      </c>
      <c r="F338" s="12" t="s">
        <v>1599</v>
      </c>
    </row>
    <row r="339" spans="1:6" ht="51">
      <c r="A339" s="10" t="str">
        <f>HYPERLINK(SUBSTITUTE(T(hl_0),"{0}","900327598834153"),hn_0)</f>
        <v>ОВ</v>
      </c>
      <c r="B339" s="9">
        <v>5000</v>
      </c>
      <c r="C339" s="11" t="s">
        <v>73</v>
      </c>
      <c r="D339" s="15" t="s">
        <v>185</v>
      </c>
      <c r="E339" s="11" t="s">
        <v>112</v>
      </c>
      <c r="F339" s="12" t="s">
        <v>1599</v>
      </c>
    </row>
    <row r="340" spans="1:6" ht="51">
      <c r="A340" s="10" t="str">
        <f>HYPERLINK(SUBSTITUTE(T(hl_0),"{0}","900327359789702"),hn_0)</f>
        <v>ОВ</v>
      </c>
      <c r="B340" s="9">
        <v>5000</v>
      </c>
      <c r="C340" s="11" t="s">
        <v>73</v>
      </c>
      <c r="D340" s="15" t="s">
        <v>120</v>
      </c>
      <c r="E340" s="11" t="s">
        <v>196</v>
      </c>
      <c r="F340" s="12" t="s">
        <v>1599</v>
      </c>
    </row>
    <row r="341" spans="1:6" ht="51">
      <c r="A341" s="10" t="str">
        <f>HYPERLINK(SUBSTITUTE(T(hl_0),"{0}","900327597156213"),hn_0)</f>
        <v>ОВ</v>
      </c>
      <c r="B341" s="9">
        <v>5000</v>
      </c>
      <c r="C341" s="11" t="s">
        <v>73</v>
      </c>
      <c r="D341" s="15" t="s">
        <v>185</v>
      </c>
      <c r="E341" s="11" t="s">
        <v>178</v>
      </c>
      <c r="F341" s="12" t="s">
        <v>1599</v>
      </c>
    </row>
    <row r="342" spans="1:6" ht="51">
      <c r="A342" s="10" t="str">
        <f>HYPERLINK(SUBSTITUTE(T(hl_0),"{0}","900327534979847"),hn_0)</f>
        <v>ОВ</v>
      </c>
      <c r="B342" s="9">
        <v>4725</v>
      </c>
      <c r="C342" s="11" t="s">
        <v>73</v>
      </c>
      <c r="D342" s="15" t="s">
        <v>123</v>
      </c>
      <c r="E342" s="11" t="s">
        <v>154</v>
      </c>
      <c r="F342" s="12" t="s">
        <v>1599</v>
      </c>
    </row>
    <row r="343" spans="1:6" ht="51">
      <c r="A343" s="10" t="str">
        <f>HYPERLINK(SUBSTITUTE(T(hl_0),"{0}","900327598255122"),hn_0)</f>
        <v>ОВ</v>
      </c>
      <c r="B343" s="9">
        <v>5000</v>
      </c>
      <c r="C343" s="11" t="s">
        <v>73</v>
      </c>
      <c r="D343" s="15" t="s">
        <v>185</v>
      </c>
      <c r="E343" s="11" t="s">
        <v>112</v>
      </c>
      <c r="F343" s="12" t="s">
        <v>1599</v>
      </c>
    </row>
    <row r="344" spans="1:6" ht="51">
      <c r="A344" s="10" t="str">
        <f>HYPERLINK(SUBSTITUTE(T(hl_0),"{0}","900327534600559"),hn_0)</f>
        <v>ОВ</v>
      </c>
      <c r="B344" s="9">
        <v>4725</v>
      </c>
      <c r="C344" s="11" t="s">
        <v>73</v>
      </c>
      <c r="D344" s="15" t="s">
        <v>123</v>
      </c>
      <c r="E344" s="11" t="s">
        <v>197</v>
      </c>
      <c r="F344" s="12" t="s">
        <v>1599</v>
      </c>
    </row>
    <row r="345" spans="1:6" ht="51">
      <c r="A345" s="10" t="str">
        <f>HYPERLINK(SUBSTITUTE(T(hl_0),"{0}","900327535313012"),hn_0)</f>
        <v>ОВ</v>
      </c>
      <c r="B345" s="9">
        <v>5000</v>
      </c>
      <c r="C345" s="11" t="s">
        <v>73</v>
      </c>
      <c r="D345" s="15" t="s">
        <v>123</v>
      </c>
      <c r="E345" s="11" t="s">
        <v>124</v>
      </c>
      <c r="F345" s="12" t="s">
        <v>1599</v>
      </c>
    </row>
    <row r="346" spans="1:6" ht="51">
      <c r="A346" s="10" t="str">
        <f>HYPERLINK(SUBSTITUTE(T(hl_0),"{0}","900327488656886"),hn_0)</f>
        <v>ОВ</v>
      </c>
      <c r="B346" s="9">
        <v>4725</v>
      </c>
      <c r="C346" s="11" t="s">
        <v>73</v>
      </c>
      <c r="D346" s="15" t="s">
        <v>135</v>
      </c>
      <c r="E346" s="11" t="s">
        <v>143</v>
      </c>
      <c r="F346" s="12" t="s">
        <v>1599</v>
      </c>
    </row>
    <row r="347" spans="1:6" ht="51">
      <c r="A347" s="10" t="str">
        <f>HYPERLINK(SUBSTITUTE(T(hl_0),"{0}","900327487848386"),hn_0)</f>
        <v>ОВ</v>
      </c>
      <c r="B347" s="9">
        <v>5000</v>
      </c>
      <c r="C347" s="11" t="s">
        <v>73</v>
      </c>
      <c r="D347" s="15" t="s">
        <v>135</v>
      </c>
      <c r="E347" s="11" t="s">
        <v>134</v>
      </c>
      <c r="F347" s="12" t="s">
        <v>1599</v>
      </c>
    </row>
    <row r="348" spans="1:6" ht="38.25">
      <c r="A348" s="10" t="str">
        <f>HYPERLINK(SUBSTITUTE(T(hl_0),"{0}","900327619011389"),hn_0)</f>
        <v>ОВ</v>
      </c>
      <c r="B348" s="9">
        <v>5000</v>
      </c>
      <c r="C348" s="11" t="s">
        <v>73</v>
      </c>
      <c r="D348" s="15" t="s">
        <v>118</v>
      </c>
      <c r="E348" s="11" t="s">
        <v>198</v>
      </c>
      <c r="F348" s="12" t="s">
        <v>1599</v>
      </c>
    </row>
    <row r="349" spans="1:6" ht="51">
      <c r="A349" s="10" t="str">
        <f>HYPERLINK(SUBSTITUTE(T(hl_0),"{0}","900327360241568"),hn_0)</f>
        <v>ОВ</v>
      </c>
      <c r="B349" s="9">
        <v>5000</v>
      </c>
      <c r="C349" s="11" t="s">
        <v>73</v>
      </c>
      <c r="D349" s="15" t="s">
        <v>120</v>
      </c>
      <c r="E349" s="11" t="s">
        <v>199</v>
      </c>
      <c r="F349" s="12" t="s">
        <v>1599</v>
      </c>
    </row>
    <row r="350" spans="1:6" ht="51">
      <c r="A350" s="10" t="str">
        <f>HYPERLINK(SUBSTITUTE(T(hl_0),"{0}","900327362514530"),hn_0)</f>
        <v>ОВ</v>
      </c>
      <c r="B350" s="9">
        <v>4725</v>
      </c>
      <c r="C350" s="11" t="s">
        <v>73</v>
      </c>
      <c r="D350" s="15" t="s">
        <v>120</v>
      </c>
      <c r="E350" s="11" t="s">
        <v>200</v>
      </c>
      <c r="F350" s="12" t="s">
        <v>1599</v>
      </c>
    </row>
    <row r="351" spans="1:6" ht="51">
      <c r="A351" s="10" t="str">
        <f>HYPERLINK(SUBSTITUTE(T(hl_0),"{0}","900327361690258"),hn_0)</f>
        <v>ОВ</v>
      </c>
      <c r="B351" s="9">
        <v>5000</v>
      </c>
      <c r="C351" s="11" t="s">
        <v>73</v>
      </c>
      <c r="D351" s="15" t="s">
        <v>120</v>
      </c>
      <c r="E351" s="11" t="s">
        <v>146</v>
      </c>
      <c r="F351" s="12" t="s">
        <v>1599</v>
      </c>
    </row>
    <row r="352" spans="1:6" ht="51">
      <c r="A352" s="10" t="str">
        <f>HYPERLINK(SUBSTITUTE(T(hl_0),"{0}","900327487809160"),hn_0)</f>
        <v>ОВ</v>
      </c>
      <c r="B352" s="9">
        <v>5000</v>
      </c>
      <c r="C352" s="11" t="s">
        <v>73</v>
      </c>
      <c r="D352" s="15" t="s">
        <v>135</v>
      </c>
      <c r="E352" s="11" t="s">
        <v>167</v>
      </c>
      <c r="F352" s="12" t="s">
        <v>1599</v>
      </c>
    </row>
    <row r="353" spans="1:6" ht="51">
      <c r="A353" s="10" t="str">
        <f>HYPERLINK(SUBSTITUTE(T(hl_0),"{0}","900327597548261"),hn_0)</f>
        <v>ОВ</v>
      </c>
      <c r="B353" s="9">
        <v>5000</v>
      </c>
      <c r="C353" s="11" t="s">
        <v>73</v>
      </c>
      <c r="D353" s="15" t="s">
        <v>185</v>
      </c>
      <c r="E353" s="11" t="s">
        <v>172</v>
      </c>
      <c r="F353" s="12" t="s">
        <v>1599</v>
      </c>
    </row>
    <row r="354" spans="1:6" ht="63.75">
      <c r="A354" s="10" t="str">
        <f>HYPERLINK(SUBSTITUTE(T(hl_0),"{0}","900327468042699"),hn_0)</f>
        <v>ОВ</v>
      </c>
      <c r="B354" s="9">
        <v>4725</v>
      </c>
      <c r="C354" s="11" t="s">
        <v>73</v>
      </c>
      <c r="D354" s="15" t="s">
        <v>131</v>
      </c>
      <c r="E354" s="11" t="s">
        <v>156</v>
      </c>
      <c r="F354" s="12" t="s">
        <v>1599</v>
      </c>
    </row>
    <row r="355" spans="1:6" ht="51">
      <c r="A355" s="10" t="str">
        <f>HYPERLINK(SUBSTITUTE(T(hl_0),"{0}","900327597164776"),hn_0)</f>
        <v>ОВ</v>
      </c>
      <c r="B355" s="9">
        <v>5000</v>
      </c>
      <c r="C355" s="11" t="s">
        <v>73</v>
      </c>
      <c r="D355" s="15" t="s">
        <v>185</v>
      </c>
      <c r="E355" s="11" t="s">
        <v>184</v>
      </c>
      <c r="F355" s="12" t="s">
        <v>1599</v>
      </c>
    </row>
    <row r="356" spans="1:6" ht="51">
      <c r="A356" s="10" t="str">
        <f>HYPERLINK(SUBSTITUTE(T(hl_0),"{0}","900327486070389"),hn_0)</f>
        <v>ОВ</v>
      </c>
      <c r="B356" s="9">
        <v>4725</v>
      </c>
      <c r="C356" s="11" t="s">
        <v>73</v>
      </c>
      <c r="D356" s="15" t="s">
        <v>135</v>
      </c>
      <c r="E356" s="11" t="s">
        <v>114</v>
      </c>
      <c r="F356" s="12" t="s">
        <v>1599</v>
      </c>
    </row>
    <row r="357" spans="1:6" ht="51">
      <c r="A357" s="10" t="str">
        <f>HYPERLINK(SUBSTITUTE(T(hl_0),"{0}","900327598084221"),hn_0)</f>
        <v>ОВ</v>
      </c>
      <c r="B357" s="9">
        <v>4725</v>
      </c>
      <c r="C357" s="11" t="s">
        <v>73</v>
      </c>
      <c r="D357" s="15" t="s">
        <v>185</v>
      </c>
      <c r="E357" s="11" t="s">
        <v>83</v>
      </c>
      <c r="F357" s="12" t="s">
        <v>1599</v>
      </c>
    </row>
    <row r="358" spans="1:6" ht="51">
      <c r="A358" s="10" t="str">
        <f>HYPERLINK(SUBSTITUTE(T(hl_0),"{0}","900327535666091"),hn_0)</f>
        <v>ОВ</v>
      </c>
      <c r="B358" s="9">
        <v>5000</v>
      </c>
      <c r="C358" s="11" t="s">
        <v>73</v>
      </c>
      <c r="D358" s="15" t="s">
        <v>123</v>
      </c>
      <c r="E358" s="11" t="s">
        <v>116</v>
      </c>
      <c r="F358" s="12" t="s">
        <v>1599</v>
      </c>
    </row>
    <row r="359" spans="1:6" ht="51">
      <c r="A359" s="10" t="str">
        <f>HYPERLINK(SUBSTITUTE(T(hl_0),"{0}","900327597630503"),hn_0)</f>
        <v>ОВ</v>
      </c>
      <c r="B359" s="9">
        <v>4725</v>
      </c>
      <c r="C359" s="11" t="s">
        <v>73</v>
      </c>
      <c r="D359" s="15" t="s">
        <v>185</v>
      </c>
      <c r="E359" s="11" t="s">
        <v>141</v>
      </c>
      <c r="F359" s="12" t="s">
        <v>1599</v>
      </c>
    </row>
    <row r="360" spans="1:6" ht="51">
      <c r="A360" s="10" t="str">
        <f>HYPERLINK(SUBSTITUTE(T(hl_0),"{0}","900327597847748"),hn_0)</f>
        <v>ОВ</v>
      </c>
      <c r="B360" s="9">
        <v>4725</v>
      </c>
      <c r="C360" s="11" t="s">
        <v>73</v>
      </c>
      <c r="D360" s="15" t="s">
        <v>185</v>
      </c>
      <c r="E360" s="11" t="s">
        <v>83</v>
      </c>
      <c r="F360" s="12" t="s">
        <v>1599</v>
      </c>
    </row>
    <row r="361" spans="1:6" ht="51">
      <c r="A361" s="10" t="str">
        <f>HYPERLINK(SUBSTITUTE(T(hl_0),"{0}","900327487681957"),hn_0)</f>
        <v>ОВ</v>
      </c>
      <c r="B361" s="9">
        <v>4725</v>
      </c>
      <c r="C361" s="11" t="s">
        <v>73</v>
      </c>
      <c r="D361" s="15" t="s">
        <v>135</v>
      </c>
      <c r="E361" s="11" t="s">
        <v>114</v>
      </c>
      <c r="F361" s="12" t="s">
        <v>1599</v>
      </c>
    </row>
    <row r="362" spans="1:6" ht="51">
      <c r="A362" s="10" t="str">
        <f>HYPERLINK(SUBSTITUTE(T(hl_0),"{0}","900327597895081"),hn_0)</f>
        <v>ОВ</v>
      </c>
      <c r="B362" s="9">
        <v>4725</v>
      </c>
      <c r="C362" s="11" t="s">
        <v>73</v>
      </c>
      <c r="D362" s="15" t="s">
        <v>185</v>
      </c>
      <c r="E362" s="11" t="s">
        <v>165</v>
      </c>
      <c r="F362" s="12" t="s">
        <v>1599</v>
      </c>
    </row>
    <row r="363" spans="1:6" ht="51">
      <c r="A363" s="10" t="str">
        <f>HYPERLINK(SUBSTITUTE(T(hl_0),"{0}","900327598271835"),hn_0)</f>
        <v>ОВ</v>
      </c>
      <c r="B363" s="9">
        <v>5000</v>
      </c>
      <c r="C363" s="11" t="s">
        <v>73</v>
      </c>
      <c r="D363" s="15" t="s">
        <v>185</v>
      </c>
      <c r="E363" s="11" t="s">
        <v>112</v>
      </c>
      <c r="F363" s="12" t="s">
        <v>1599</v>
      </c>
    </row>
    <row r="364" spans="1:6" ht="51">
      <c r="A364" s="10" t="str">
        <f>HYPERLINK(SUBSTITUTE(T(hl_0),"{0}","900327598514758"),hn_0)</f>
        <v>ОВ</v>
      </c>
      <c r="B364" s="9">
        <v>5000</v>
      </c>
      <c r="C364" s="11" t="s">
        <v>73</v>
      </c>
      <c r="D364" s="15" t="s">
        <v>185</v>
      </c>
      <c r="E364" s="11" t="s">
        <v>94</v>
      </c>
      <c r="F364" s="12" t="s">
        <v>1599</v>
      </c>
    </row>
    <row r="365" spans="1:6" ht="51">
      <c r="A365" s="10" t="str">
        <f>HYPERLINK(SUBSTITUTE(T(hl_0),"{0}","900327598121691"),hn_0)</f>
        <v>ОВ</v>
      </c>
      <c r="B365" s="9">
        <v>4725</v>
      </c>
      <c r="C365" s="11" t="s">
        <v>73</v>
      </c>
      <c r="D365" s="15" t="s">
        <v>185</v>
      </c>
      <c r="E365" s="11" t="s">
        <v>75</v>
      </c>
      <c r="F365" s="12" t="s">
        <v>1599</v>
      </c>
    </row>
    <row r="366" spans="1:6" ht="51">
      <c r="A366" s="10" t="str">
        <f>HYPERLINK(SUBSTITUTE(T(hl_0),"{0}","900327597442249"),hn_0)</f>
        <v>ОВ</v>
      </c>
      <c r="B366" s="9">
        <v>5000</v>
      </c>
      <c r="C366" s="11" t="s">
        <v>73</v>
      </c>
      <c r="D366" s="15" t="s">
        <v>185</v>
      </c>
      <c r="E366" s="11" t="s">
        <v>175</v>
      </c>
      <c r="F366" s="12" t="s">
        <v>1599</v>
      </c>
    </row>
    <row r="367" spans="1:6" ht="51">
      <c r="A367" s="10" t="str">
        <f>HYPERLINK(SUBSTITUTE(T(hl_0),"{0}","900327534617837"),hn_0)</f>
        <v>ОВ</v>
      </c>
      <c r="B367" s="9">
        <v>5000</v>
      </c>
      <c r="C367" s="11" t="s">
        <v>73</v>
      </c>
      <c r="D367" s="15" t="s">
        <v>123</v>
      </c>
      <c r="E367" s="11" t="s">
        <v>201</v>
      </c>
      <c r="F367" s="12" t="s">
        <v>1599</v>
      </c>
    </row>
    <row r="368" spans="1:6" ht="51">
      <c r="A368" s="10" t="str">
        <f>HYPERLINK(SUBSTITUTE(T(hl_0),"{0}","900327596304880"),hn_0)</f>
        <v>ОВ</v>
      </c>
      <c r="B368" s="9">
        <v>5000</v>
      </c>
      <c r="C368" s="11" t="s">
        <v>73</v>
      </c>
      <c r="D368" s="15" t="s">
        <v>185</v>
      </c>
      <c r="E368" s="11" t="s">
        <v>175</v>
      </c>
      <c r="F368" s="12" t="s">
        <v>1599</v>
      </c>
    </row>
    <row r="369" spans="1:6" ht="51">
      <c r="A369" s="10" t="str">
        <f>HYPERLINK(SUBSTITUTE(T(hl_0),"{0}","900327598590106"),hn_0)</f>
        <v>ОВ</v>
      </c>
      <c r="B369" s="9">
        <v>5000</v>
      </c>
      <c r="C369" s="11" t="s">
        <v>73</v>
      </c>
      <c r="D369" s="15" t="s">
        <v>185</v>
      </c>
      <c r="E369" s="11" t="s">
        <v>159</v>
      </c>
      <c r="F369" s="12" t="s">
        <v>1599</v>
      </c>
    </row>
    <row r="370" spans="1:6" ht="51">
      <c r="A370" s="10" t="str">
        <f>HYPERLINK(SUBSTITUTE(T(hl_0),"{0}","900327598621898"),hn_0)</f>
        <v>ОВ</v>
      </c>
      <c r="B370" s="9">
        <v>5000</v>
      </c>
      <c r="C370" s="11" t="s">
        <v>73</v>
      </c>
      <c r="D370" s="15" t="s">
        <v>185</v>
      </c>
      <c r="E370" s="11" t="s">
        <v>112</v>
      </c>
      <c r="F370" s="12" t="s">
        <v>1599</v>
      </c>
    </row>
    <row r="371" spans="1:6" ht="51">
      <c r="A371" s="10" t="str">
        <f>HYPERLINK(SUBSTITUTE(T(hl_0),"{0}","900327359361179"),hn_0)</f>
        <v>ОВ</v>
      </c>
      <c r="B371" s="9">
        <v>5000</v>
      </c>
      <c r="C371" s="11" t="s">
        <v>73</v>
      </c>
      <c r="D371" s="15" t="s">
        <v>120</v>
      </c>
      <c r="E371" s="11" t="s">
        <v>202</v>
      </c>
      <c r="F371" s="12" t="s">
        <v>1599</v>
      </c>
    </row>
    <row r="372" spans="1:6" ht="51">
      <c r="A372" s="10" t="str">
        <f>HYPERLINK(SUBSTITUTE(T(hl_0),"{0}","900327598582251"),hn_0)</f>
        <v>ОВ</v>
      </c>
      <c r="B372" s="9">
        <v>5000</v>
      </c>
      <c r="C372" s="11" t="s">
        <v>73</v>
      </c>
      <c r="D372" s="15" t="s">
        <v>185</v>
      </c>
      <c r="E372" s="11" t="s">
        <v>108</v>
      </c>
      <c r="F372" s="12" t="s">
        <v>1599</v>
      </c>
    </row>
    <row r="373" spans="1:6" ht="51">
      <c r="A373" s="10" t="str">
        <f>HYPERLINK(SUBSTITUTE(T(hl_0),"{0}","900327535604052"),hn_0)</f>
        <v>ОВ</v>
      </c>
      <c r="B373" s="9">
        <v>4725</v>
      </c>
      <c r="C373" s="11" t="s">
        <v>73</v>
      </c>
      <c r="D373" s="15" t="s">
        <v>123</v>
      </c>
      <c r="E373" s="11" t="s">
        <v>203</v>
      </c>
      <c r="F373" s="12" t="s">
        <v>1599</v>
      </c>
    </row>
    <row r="374" spans="1:6" ht="38.25">
      <c r="A374" s="10" t="str">
        <f>HYPERLINK(SUBSTITUTE(T(hl_0),"{0}","900327619110850"),hn_0)</f>
        <v>ОВ</v>
      </c>
      <c r="B374" s="9">
        <v>5000</v>
      </c>
      <c r="C374" s="11" t="s">
        <v>73</v>
      </c>
      <c r="D374" s="15" t="s">
        <v>118</v>
      </c>
      <c r="E374" s="11" t="s">
        <v>160</v>
      </c>
      <c r="F374" s="12" t="s">
        <v>1599</v>
      </c>
    </row>
    <row r="375" spans="1:6" ht="51">
      <c r="A375" s="10" t="str">
        <f>HYPERLINK(SUBSTITUTE(T(hl_0),"{0}","900327536338500"),hn_0)</f>
        <v>ОВ</v>
      </c>
      <c r="B375" s="9">
        <v>5000</v>
      </c>
      <c r="C375" s="11" t="s">
        <v>73</v>
      </c>
      <c r="D375" s="15" t="s">
        <v>123</v>
      </c>
      <c r="E375" s="11" t="s">
        <v>204</v>
      </c>
      <c r="F375" s="12" t="s">
        <v>1599</v>
      </c>
    </row>
    <row r="376" spans="1:6" ht="51">
      <c r="A376" s="10" t="str">
        <f>HYPERLINK(SUBSTITUTE(T(hl_0),"{0}","900327598477065"),hn_0)</f>
        <v>ОВ</v>
      </c>
      <c r="B376" s="9">
        <v>5000</v>
      </c>
      <c r="C376" s="11" t="s">
        <v>73</v>
      </c>
      <c r="D376" s="15" t="s">
        <v>185</v>
      </c>
      <c r="E376" s="11" t="s">
        <v>112</v>
      </c>
      <c r="F376" s="12" t="s">
        <v>1599</v>
      </c>
    </row>
    <row r="377" spans="1:6" ht="51">
      <c r="A377" s="10" t="str">
        <f>HYPERLINK(SUBSTITUTE(T(hl_0),"{0}","900327597786838"),hn_0)</f>
        <v>ОВ</v>
      </c>
      <c r="B377" s="9">
        <v>4725</v>
      </c>
      <c r="C377" s="11" t="s">
        <v>73</v>
      </c>
      <c r="D377" s="15" t="s">
        <v>185</v>
      </c>
      <c r="E377" s="11" t="s">
        <v>129</v>
      </c>
      <c r="F377" s="12" t="s">
        <v>1599</v>
      </c>
    </row>
    <row r="378" spans="1:6" ht="51">
      <c r="A378" s="10" t="str">
        <f>HYPERLINK(SUBSTITUTE(T(hl_0),"{0}","900327535639435"),hn_0)</f>
        <v>ОВ</v>
      </c>
      <c r="B378" s="9">
        <v>5000</v>
      </c>
      <c r="C378" s="11" t="s">
        <v>73</v>
      </c>
      <c r="D378" s="15" t="s">
        <v>123</v>
      </c>
      <c r="E378" s="11" t="s">
        <v>87</v>
      </c>
      <c r="F378" s="12" t="s">
        <v>1599</v>
      </c>
    </row>
    <row r="379" spans="1:6" ht="63.75">
      <c r="A379" s="10" t="str">
        <f>HYPERLINK(SUBSTITUTE(T(hl_0),"{0}","900327513095150"),hn_0)</f>
        <v>ОВ</v>
      </c>
      <c r="B379" s="9">
        <v>4725</v>
      </c>
      <c r="C379" s="11" t="s">
        <v>73</v>
      </c>
      <c r="D379" s="15" t="s">
        <v>125</v>
      </c>
      <c r="E379" s="11" t="s">
        <v>170</v>
      </c>
      <c r="F379" s="12" t="s">
        <v>1599</v>
      </c>
    </row>
    <row r="380" spans="1:6" ht="51">
      <c r="A380" s="10" t="str">
        <f>HYPERLINK(SUBSTITUTE(T(hl_0),"{0}","900327597650749"),hn_0)</f>
        <v>ОВ</v>
      </c>
      <c r="B380" s="9">
        <v>4725</v>
      </c>
      <c r="C380" s="11" t="s">
        <v>73</v>
      </c>
      <c r="D380" s="15" t="s">
        <v>185</v>
      </c>
      <c r="E380" s="11" t="s">
        <v>141</v>
      </c>
      <c r="F380" s="12" t="s">
        <v>1599</v>
      </c>
    </row>
    <row r="381" spans="1:6" ht="51">
      <c r="A381" s="10" t="str">
        <f>HYPERLINK(SUBSTITUTE(T(hl_0),"{0}","900327362537235"),hn_0)</f>
        <v>ОВ</v>
      </c>
      <c r="B381" s="9">
        <v>5000</v>
      </c>
      <c r="C381" s="11" t="s">
        <v>73</v>
      </c>
      <c r="D381" s="15" t="s">
        <v>120</v>
      </c>
      <c r="E381" s="11" t="s">
        <v>143</v>
      </c>
      <c r="F381" s="12" t="s">
        <v>1599</v>
      </c>
    </row>
    <row r="382" spans="1:6" ht="51">
      <c r="A382" s="10" t="str">
        <f>HYPERLINK(SUBSTITUTE(T(hl_0),"{0}","900327487698276"),hn_0)</f>
        <v>ОВ</v>
      </c>
      <c r="B382" s="9">
        <v>4725</v>
      </c>
      <c r="C382" s="11" t="s">
        <v>73</v>
      </c>
      <c r="D382" s="15" t="s">
        <v>135</v>
      </c>
      <c r="E382" s="11" t="s">
        <v>167</v>
      </c>
      <c r="F382" s="12" t="s">
        <v>1599</v>
      </c>
    </row>
    <row r="383" spans="1:6" ht="51">
      <c r="A383" s="10" t="str">
        <f>HYPERLINK(SUBSTITUTE(T(hl_0),"{0}","900327487725540"),hn_0)</f>
        <v>ОВ</v>
      </c>
      <c r="B383" s="9">
        <v>4725</v>
      </c>
      <c r="C383" s="11" t="s">
        <v>73</v>
      </c>
      <c r="D383" s="15" t="s">
        <v>135</v>
      </c>
      <c r="E383" s="11" t="s">
        <v>167</v>
      </c>
      <c r="F383" s="12" t="s">
        <v>1599</v>
      </c>
    </row>
    <row r="384" spans="1:6" ht="51">
      <c r="A384" s="10" t="str">
        <f>HYPERLINK(SUBSTITUTE(T(hl_0),"{0}","900327487016725"),hn_0)</f>
        <v>ОВ</v>
      </c>
      <c r="B384" s="9">
        <v>5000</v>
      </c>
      <c r="C384" s="11" t="s">
        <v>73</v>
      </c>
      <c r="D384" s="15" t="s">
        <v>135</v>
      </c>
      <c r="E384" s="11" t="s">
        <v>156</v>
      </c>
      <c r="F384" s="12" t="s">
        <v>1599</v>
      </c>
    </row>
    <row r="385" spans="1:6" ht="51">
      <c r="A385" s="10" t="str">
        <f>HYPERLINK(SUBSTITUTE(T(hl_0),"{0}","900327362748358"),hn_0)</f>
        <v>ОВ</v>
      </c>
      <c r="B385" s="9">
        <v>5000</v>
      </c>
      <c r="C385" s="11" t="s">
        <v>73</v>
      </c>
      <c r="D385" s="15" t="s">
        <v>120</v>
      </c>
      <c r="E385" s="11" t="s">
        <v>113</v>
      </c>
      <c r="F385" s="12" t="s">
        <v>1599</v>
      </c>
    </row>
    <row r="386" spans="1:6" ht="63.75">
      <c r="A386" s="10" t="str">
        <f>HYPERLINK(SUBSTITUTE(T(hl_0),"{0}","900327513200777"),hn_0)</f>
        <v>ОВ</v>
      </c>
      <c r="B386" s="9">
        <v>5000</v>
      </c>
      <c r="C386" s="11" t="s">
        <v>73</v>
      </c>
      <c r="D386" s="15" t="s">
        <v>125</v>
      </c>
      <c r="E386" s="11" t="s">
        <v>170</v>
      </c>
      <c r="F386" s="12" t="s">
        <v>1599</v>
      </c>
    </row>
    <row r="387" spans="1:6" ht="63.75">
      <c r="A387" s="10" t="str">
        <f>HYPERLINK(SUBSTITUTE(T(hl_0),"{0}","900327513082370"),hn_0)</f>
        <v>ОВ</v>
      </c>
      <c r="B387" s="9">
        <v>4725</v>
      </c>
      <c r="C387" s="11" t="s">
        <v>73</v>
      </c>
      <c r="D387" s="15" t="s">
        <v>125</v>
      </c>
      <c r="E387" s="11" t="s">
        <v>169</v>
      </c>
      <c r="F387" s="12" t="s">
        <v>1599</v>
      </c>
    </row>
    <row r="388" spans="1:6" ht="51">
      <c r="A388" s="10" t="str">
        <f>HYPERLINK(SUBSTITUTE(T(hl_0),"{0}","900327360253977"),hn_0)</f>
        <v>ОВ</v>
      </c>
      <c r="B388" s="9">
        <v>4725</v>
      </c>
      <c r="C388" s="11" t="s">
        <v>73</v>
      </c>
      <c r="D388" s="15" t="s">
        <v>120</v>
      </c>
      <c r="E388" s="11" t="s">
        <v>113</v>
      </c>
      <c r="F388" s="12" t="s">
        <v>1599</v>
      </c>
    </row>
    <row r="389" spans="1:6" ht="51">
      <c r="A389" s="10" t="str">
        <f>HYPERLINK(SUBSTITUTE(T(hl_0),"{0}","900327359757038"),hn_0)</f>
        <v>ОВ</v>
      </c>
      <c r="B389" s="9">
        <v>5000</v>
      </c>
      <c r="C389" s="11" t="s">
        <v>73</v>
      </c>
      <c r="D389" s="15" t="s">
        <v>120</v>
      </c>
      <c r="E389" s="11" t="s">
        <v>196</v>
      </c>
      <c r="F389" s="12" t="s">
        <v>1599</v>
      </c>
    </row>
    <row r="390" spans="1:6" ht="63.75">
      <c r="A390" s="10" t="str">
        <f>HYPERLINK(SUBSTITUTE(T(hl_0),"{0}","900327468016379"),hn_0)</f>
        <v>ОВ</v>
      </c>
      <c r="B390" s="9">
        <v>4725</v>
      </c>
      <c r="C390" s="11" t="s">
        <v>73</v>
      </c>
      <c r="D390" s="15" t="s">
        <v>131</v>
      </c>
      <c r="E390" s="11" t="s">
        <v>167</v>
      </c>
      <c r="F390" s="12" t="s">
        <v>1599</v>
      </c>
    </row>
    <row r="391" spans="1:6" ht="51">
      <c r="A391" s="10" t="str">
        <f>HYPERLINK(SUBSTITUTE(T(hl_0),"{0}","900327486916777"),hn_0)</f>
        <v>ОВ</v>
      </c>
      <c r="B391" s="9">
        <v>5000</v>
      </c>
      <c r="C391" s="11" t="s">
        <v>73</v>
      </c>
      <c r="D391" s="15" t="s">
        <v>135</v>
      </c>
      <c r="E391" s="11" t="s">
        <v>156</v>
      </c>
      <c r="F391" s="12" t="s">
        <v>1599</v>
      </c>
    </row>
    <row r="392" spans="1:6" ht="51">
      <c r="A392" s="10" t="str">
        <f>HYPERLINK(SUBSTITUTE(T(hl_0),"{0}","900327360416157"),hn_0)</f>
        <v>ОВ</v>
      </c>
      <c r="B392" s="9">
        <v>5000</v>
      </c>
      <c r="C392" s="11" t="s">
        <v>73</v>
      </c>
      <c r="D392" s="15" t="s">
        <v>120</v>
      </c>
      <c r="E392" s="11" t="s">
        <v>205</v>
      </c>
      <c r="F392" s="12" t="s">
        <v>1599</v>
      </c>
    </row>
    <row r="393" spans="1:6" ht="51">
      <c r="A393" s="10" t="str">
        <f>HYPERLINK(SUBSTITUTE(T(hl_0),"{0}","900327361772402"),hn_0)</f>
        <v>ОВ</v>
      </c>
      <c r="B393" s="9">
        <v>4725</v>
      </c>
      <c r="C393" s="11" t="s">
        <v>73</v>
      </c>
      <c r="D393" s="15" t="s">
        <v>120</v>
      </c>
      <c r="E393" s="11" t="s">
        <v>93</v>
      </c>
      <c r="F393" s="12" t="s">
        <v>1599</v>
      </c>
    </row>
    <row r="394" spans="1:6" ht="63.75">
      <c r="A394" s="10" t="str">
        <f>HYPERLINK(SUBSTITUTE(T(hl_0),"{0}","900327467663873"),hn_0)</f>
        <v>ОВ</v>
      </c>
      <c r="B394" s="9">
        <v>5000</v>
      </c>
      <c r="C394" s="11" t="s">
        <v>73</v>
      </c>
      <c r="D394" s="15" t="s">
        <v>131</v>
      </c>
      <c r="E394" s="11" t="s">
        <v>88</v>
      </c>
      <c r="F394" s="12" t="s">
        <v>1599</v>
      </c>
    </row>
    <row r="395" spans="1:6" ht="51">
      <c r="A395" s="10" t="str">
        <f>HYPERLINK(SUBSTITUTE(T(hl_0),"{0}","900327488181113"),hn_0)</f>
        <v>ОВ</v>
      </c>
      <c r="B395" s="9">
        <v>5000</v>
      </c>
      <c r="C395" s="11" t="s">
        <v>73</v>
      </c>
      <c r="D395" s="15" t="s">
        <v>135</v>
      </c>
      <c r="E395" s="11" t="s">
        <v>163</v>
      </c>
      <c r="F395" s="12" t="s">
        <v>1599</v>
      </c>
    </row>
    <row r="396" spans="1:6" ht="63.75">
      <c r="A396" s="10" t="str">
        <f>HYPERLINK(SUBSTITUTE(T(hl_0),"{0}","900327513284235"),hn_0)</f>
        <v>ОВ</v>
      </c>
      <c r="B396" s="9">
        <v>5000</v>
      </c>
      <c r="C396" s="11" t="s">
        <v>73</v>
      </c>
      <c r="D396" s="15" t="s">
        <v>125</v>
      </c>
      <c r="E396" s="11" t="s">
        <v>206</v>
      </c>
      <c r="F396" s="12" t="s">
        <v>1599</v>
      </c>
    </row>
    <row r="397" spans="1:6" ht="63.75">
      <c r="A397" s="10" t="str">
        <f>HYPERLINK(SUBSTITUTE(T(hl_0),"{0}","900327513005736"),hn_0)</f>
        <v>ОВ</v>
      </c>
      <c r="B397" s="9">
        <v>5000</v>
      </c>
      <c r="C397" s="11" t="s">
        <v>73</v>
      </c>
      <c r="D397" s="15" t="s">
        <v>125</v>
      </c>
      <c r="E397" s="11" t="s">
        <v>193</v>
      </c>
      <c r="F397" s="12" t="s">
        <v>1599</v>
      </c>
    </row>
    <row r="398" spans="1:6" ht="51">
      <c r="A398" s="10" t="str">
        <f>HYPERLINK(SUBSTITUTE(T(hl_0),"{0}","900327487711917"),hn_0)</f>
        <v>ОВ</v>
      </c>
      <c r="B398" s="9">
        <v>4725</v>
      </c>
      <c r="C398" s="11" t="s">
        <v>73</v>
      </c>
      <c r="D398" s="15" t="s">
        <v>135</v>
      </c>
      <c r="E398" s="11" t="s">
        <v>167</v>
      </c>
      <c r="F398" s="12" t="s">
        <v>1599</v>
      </c>
    </row>
    <row r="399" spans="1:6" ht="51">
      <c r="A399" s="10" t="str">
        <f>HYPERLINK(SUBSTITUTE(T(hl_0),"{0}","900327361238481"),hn_0)</f>
        <v>ОВ</v>
      </c>
      <c r="B399" s="9">
        <v>5000</v>
      </c>
      <c r="C399" s="11" t="s">
        <v>73</v>
      </c>
      <c r="D399" s="15" t="s">
        <v>120</v>
      </c>
      <c r="E399" s="11" t="s">
        <v>207</v>
      </c>
      <c r="F399" s="12" t="s">
        <v>1599</v>
      </c>
    </row>
    <row r="400" spans="1:6" ht="63.75">
      <c r="A400" s="10" t="str">
        <f>HYPERLINK(SUBSTITUTE(T(hl_0),"{0}","900327513234815"),hn_0)</f>
        <v>ОВ</v>
      </c>
      <c r="B400" s="9">
        <v>5000</v>
      </c>
      <c r="C400" s="11" t="s">
        <v>73</v>
      </c>
      <c r="D400" s="15" t="s">
        <v>125</v>
      </c>
      <c r="E400" s="11" t="s">
        <v>170</v>
      </c>
      <c r="F400" s="12" t="s">
        <v>1599</v>
      </c>
    </row>
    <row r="401" spans="1:6" ht="51">
      <c r="A401" s="10" t="str">
        <f>HYPERLINK(SUBSTITUTE(T(hl_0),"{0}","900327487745503"),hn_0)</f>
        <v>ОВ</v>
      </c>
      <c r="B401" s="9">
        <v>4725</v>
      </c>
      <c r="C401" s="11" t="s">
        <v>73</v>
      </c>
      <c r="D401" s="15" t="s">
        <v>135</v>
      </c>
      <c r="E401" s="11" t="s">
        <v>208</v>
      </c>
      <c r="F401" s="12" t="s">
        <v>1599</v>
      </c>
    </row>
    <row r="402" spans="1:6" ht="51">
      <c r="A402" s="10" t="str">
        <f>HYPERLINK(SUBSTITUTE(T(hl_0),"{0}","900327340368621"),hn_0)</f>
        <v>ОВ</v>
      </c>
      <c r="B402" s="9">
        <v>4725</v>
      </c>
      <c r="C402" s="11" t="s">
        <v>73</v>
      </c>
      <c r="D402" s="15" t="s">
        <v>209</v>
      </c>
      <c r="E402" s="11" t="s">
        <v>161</v>
      </c>
      <c r="F402" s="12" t="s">
        <v>1599</v>
      </c>
    </row>
    <row r="403" spans="1:6" ht="51">
      <c r="A403" s="10" t="str">
        <f>HYPERLINK(SUBSTITUTE(T(hl_0),"{0}","900327340368630"),hn_0)</f>
        <v>ОВ</v>
      </c>
      <c r="B403" s="9">
        <v>4725</v>
      </c>
      <c r="C403" s="11" t="s">
        <v>73</v>
      </c>
      <c r="D403" s="15" t="s">
        <v>209</v>
      </c>
      <c r="E403" s="11" t="s">
        <v>161</v>
      </c>
      <c r="F403" s="12" t="s">
        <v>1599</v>
      </c>
    </row>
    <row r="404" spans="1:6" ht="51">
      <c r="A404" s="10" t="str">
        <f>HYPERLINK(SUBSTITUTE(T(hl_0),"{0}","900327362330423"),hn_0)</f>
        <v>ОВ</v>
      </c>
      <c r="B404" s="9">
        <v>4725</v>
      </c>
      <c r="C404" s="11" t="s">
        <v>73</v>
      </c>
      <c r="D404" s="15" t="s">
        <v>120</v>
      </c>
      <c r="E404" s="11" t="s">
        <v>93</v>
      </c>
      <c r="F404" s="12" t="s">
        <v>1599</v>
      </c>
    </row>
    <row r="405" spans="1:6" ht="63.75">
      <c r="A405" s="10" t="str">
        <f>HYPERLINK(SUBSTITUTE(T(hl_0),"{0}","900327513249892"),hn_0)</f>
        <v>ОВ</v>
      </c>
      <c r="B405" s="9">
        <v>5000</v>
      </c>
      <c r="C405" s="11" t="s">
        <v>73</v>
      </c>
      <c r="D405" s="15" t="s">
        <v>125</v>
      </c>
      <c r="E405" s="11" t="s">
        <v>127</v>
      </c>
      <c r="F405" s="12" t="s">
        <v>1599</v>
      </c>
    </row>
    <row r="406" spans="1:6" ht="63.75">
      <c r="A406" s="10" t="str">
        <f>HYPERLINK(SUBSTITUTE(T(hl_0),"{0}","900327467757570"),hn_0)</f>
        <v>ОВ</v>
      </c>
      <c r="B406" s="9">
        <v>4725</v>
      </c>
      <c r="C406" s="11" t="s">
        <v>73</v>
      </c>
      <c r="D406" s="15" t="s">
        <v>131</v>
      </c>
      <c r="E406" s="11" t="s">
        <v>210</v>
      </c>
      <c r="F406" s="12" t="s">
        <v>1599</v>
      </c>
    </row>
    <row r="407" spans="1:6" ht="63.75">
      <c r="A407" s="10" t="str">
        <f>HYPERLINK(SUBSTITUTE(T(hl_0),"{0}","900327467956483"),hn_0)</f>
        <v>ОВ</v>
      </c>
      <c r="B407" s="9">
        <v>4725</v>
      </c>
      <c r="C407" s="11" t="s">
        <v>73</v>
      </c>
      <c r="D407" s="15" t="s">
        <v>131</v>
      </c>
      <c r="E407" s="11" t="s">
        <v>156</v>
      </c>
      <c r="F407" s="12" t="s">
        <v>1599</v>
      </c>
    </row>
    <row r="408" spans="1:6" ht="12.75">
      <c r="A408" s="10" t="str">
        <f>HYPERLINK(SUBSTITUTE(T(hl_0),"{0}","900332146928424"),hn_0)</f>
        <v>ОВ</v>
      </c>
      <c r="B408" s="9">
        <v>6000</v>
      </c>
      <c r="C408" s="11" t="s">
        <v>211</v>
      </c>
      <c r="D408" s="15" t="s">
        <v>212</v>
      </c>
      <c r="E408" s="11" t="s">
        <v>16</v>
      </c>
      <c r="F408" s="12" t="s">
        <v>1599</v>
      </c>
    </row>
    <row r="409" spans="1:6" ht="12.75">
      <c r="A409" s="10" t="str">
        <f>HYPERLINK(SUBSTITUTE(T(hl_0),"{0}","900327860367113"),hn_0)</f>
        <v>ОВ</v>
      </c>
      <c r="B409" s="9">
        <v>6200</v>
      </c>
      <c r="C409" s="11" t="s">
        <v>213</v>
      </c>
      <c r="D409" s="15" t="s">
        <v>214</v>
      </c>
      <c r="E409" s="11" t="s">
        <v>16</v>
      </c>
      <c r="F409" s="12" t="s">
        <v>1599</v>
      </c>
    </row>
    <row r="410" spans="1:6" ht="12.75">
      <c r="A410" s="10" t="str">
        <f>HYPERLINK(SUBSTITUTE(T(hl_0),"{0}","900327860349060"),hn_0)</f>
        <v>ОВ</v>
      </c>
      <c r="B410" s="9">
        <v>6200</v>
      </c>
      <c r="C410" s="11" t="s">
        <v>215</v>
      </c>
      <c r="D410" s="15" t="s">
        <v>216</v>
      </c>
      <c r="E410" s="11" t="s">
        <v>16</v>
      </c>
      <c r="F410" s="12" t="s">
        <v>1599</v>
      </c>
    </row>
    <row r="411" spans="1:6" ht="12.75">
      <c r="A411" s="10" t="str">
        <f>HYPERLINK(SUBSTITUTE(T(hl_0),"{0}","900331791409055"),hn_0)</f>
        <v>ОВ</v>
      </c>
      <c r="B411" s="9">
        <v>6500</v>
      </c>
      <c r="C411" s="11" t="s">
        <v>215</v>
      </c>
      <c r="D411" s="15" t="s">
        <v>217</v>
      </c>
      <c r="E411" s="11" t="s">
        <v>16</v>
      </c>
      <c r="F411" s="12" t="s">
        <v>1599</v>
      </c>
    </row>
    <row r="412" spans="1:6" ht="12.75">
      <c r="A412" s="10" t="str">
        <f>HYPERLINK(SUBSTITUTE(T(hl_0),"{0}","319332027155195"),hn_0)</f>
        <v>ОВ</v>
      </c>
      <c r="B412" s="9">
        <v>5500</v>
      </c>
      <c r="C412" s="11" t="s">
        <v>218</v>
      </c>
      <c r="D412" s="15" t="s">
        <v>219</v>
      </c>
      <c r="E412" s="11" t="s">
        <v>22</v>
      </c>
      <c r="F412" s="11" t="s">
        <v>1599</v>
      </c>
    </row>
    <row r="413" spans="1:6" ht="12.75">
      <c r="A413" s="10" t="str">
        <f>HYPERLINK(SUBSTITUTE(T(hl_0),"{0}","320332148019688"),hn_0)</f>
        <v>ОВ</v>
      </c>
      <c r="B413" s="9">
        <v>5000</v>
      </c>
      <c r="C413" s="11" t="s">
        <v>218</v>
      </c>
      <c r="D413" s="15" t="s">
        <v>1187</v>
      </c>
      <c r="E413" s="11" t="s">
        <v>23</v>
      </c>
      <c r="F413" s="12" t="s">
        <v>1599</v>
      </c>
    </row>
    <row r="414" spans="1:6" ht="38.25">
      <c r="A414" s="10" t="str">
        <f>HYPERLINK(SUBSTITUTE(T(hl_0),"{0}","320331363185515"),hn_0)</f>
        <v>ОВ</v>
      </c>
      <c r="B414" s="9">
        <v>6000</v>
      </c>
      <c r="C414" s="11" t="s">
        <v>218</v>
      </c>
      <c r="D414" s="15" t="s">
        <v>220</v>
      </c>
      <c r="E414" s="11" t="s">
        <v>23</v>
      </c>
      <c r="F414" s="12" t="s">
        <v>1599</v>
      </c>
    </row>
    <row r="415" spans="1:6" ht="25.5">
      <c r="A415" s="10" t="str">
        <f>HYPERLINK(SUBSTITUTE(T(hl_0),"{0}","320330662247819"),hn_0)</f>
        <v>ОВ</v>
      </c>
      <c r="B415" s="9">
        <v>7500</v>
      </c>
      <c r="C415" s="11" t="s">
        <v>218</v>
      </c>
      <c r="D415" s="15" t="s">
        <v>1186</v>
      </c>
      <c r="E415" s="11" t="s">
        <v>23</v>
      </c>
      <c r="F415" s="12" t="s">
        <v>1599</v>
      </c>
    </row>
    <row r="416" spans="1:6" ht="38.25">
      <c r="A416" s="10" t="str">
        <f>HYPERLINK(SUBSTITUTE(T(hl_0),"{0}","321331674094402"),hn_0)</f>
        <v>ОВ</v>
      </c>
      <c r="B416" s="9">
        <v>6000</v>
      </c>
      <c r="C416" s="11" t="s">
        <v>218</v>
      </c>
      <c r="D416" s="15" t="s">
        <v>1188</v>
      </c>
      <c r="E416" s="11" t="s">
        <v>20</v>
      </c>
      <c r="F416" s="12" t="s">
        <v>1599</v>
      </c>
    </row>
    <row r="417" spans="1:6" ht="25.5">
      <c r="A417" s="10" t="str">
        <f>HYPERLINK(SUBSTITUTE(T(hl_0),"{0}","321332146931772"),hn_0)</f>
        <v>ОВ</v>
      </c>
      <c r="B417" s="9">
        <v>4723</v>
      </c>
      <c r="C417" s="11" t="s">
        <v>218</v>
      </c>
      <c r="D417" s="15" t="s">
        <v>1189</v>
      </c>
      <c r="E417" s="11" t="s">
        <v>20</v>
      </c>
      <c r="F417" s="12" t="s">
        <v>1599</v>
      </c>
    </row>
    <row r="418" spans="1:6" ht="38.25">
      <c r="A418" s="10" t="str">
        <f>HYPERLINK(SUBSTITUTE(T(hl_0),"{0}","321332220398752"),hn_0)</f>
        <v>ОВ</v>
      </c>
      <c r="B418" s="9">
        <v>5200</v>
      </c>
      <c r="C418" s="11" t="s">
        <v>218</v>
      </c>
      <c r="D418" s="15" t="s">
        <v>1190</v>
      </c>
      <c r="E418" s="11" t="s">
        <v>20</v>
      </c>
      <c r="F418" s="12" t="s">
        <v>1599</v>
      </c>
    </row>
    <row r="419" spans="1:6" ht="25.5">
      <c r="A419" s="10" t="str">
        <f>HYPERLINK(SUBSTITUTE(T(hl_0),"{0}","321327963061509"),hn_0)</f>
        <v>ОВ</v>
      </c>
      <c r="B419" s="9">
        <v>6300</v>
      </c>
      <c r="C419" s="11" t="s">
        <v>218</v>
      </c>
      <c r="D419" s="15" t="s">
        <v>1191</v>
      </c>
      <c r="E419" s="11" t="s">
        <v>64</v>
      </c>
      <c r="F419" s="12" t="s">
        <v>1599</v>
      </c>
    </row>
    <row r="420" spans="1:6" ht="38.25">
      <c r="A420" s="10" t="str">
        <f>HYPERLINK(SUBSTITUTE(T(hl_0),"{0}","322331558571923"),hn_0)</f>
        <v>ОВ</v>
      </c>
      <c r="B420" s="9">
        <v>5000</v>
      </c>
      <c r="C420" s="11" t="s">
        <v>218</v>
      </c>
      <c r="D420" s="15" t="s">
        <v>1192</v>
      </c>
      <c r="E420" s="11" t="s">
        <v>37</v>
      </c>
      <c r="F420" s="12" t="s">
        <v>1599</v>
      </c>
    </row>
    <row r="421" spans="1:6" ht="25.5">
      <c r="A421" s="10" t="str">
        <f>HYPERLINK(SUBSTITUTE(T(hl_0),"{0}","322331483024682"),hn_0)</f>
        <v>ОВ</v>
      </c>
      <c r="B421" s="9">
        <v>5000</v>
      </c>
      <c r="C421" s="11" t="s">
        <v>218</v>
      </c>
      <c r="D421" s="15" t="s">
        <v>221</v>
      </c>
      <c r="E421" s="11" t="s">
        <v>222</v>
      </c>
      <c r="F421" s="12" t="s">
        <v>1599</v>
      </c>
    </row>
    <row r="422" spans="1:6" ht="12.75">
      <c r="A422" s="10" t="str">
        <f>HYPERLINK(SUBSTITUTE(T(hl_0),"{0}","325331533110921"),hn_0)</f>
        <v>ОВ</v>
      </c>
      <c r="B422" s="9">
        <v>6100</v>
      </c>
      <c r="C422" s="11" t="s">
        <v>218</v>
      </c>
      <c r="D422" s="15" t="s">
        <v>223</v>
      </c>
      <c r="E422" s="11" t="s">
        <v>36</v>
      </c>
      <c r="F422" s="12" t="s">
        <v>1599</v>
      </c>
    </row>
    <row r="423" spans="1:6" ht="12.75">
      <c r="A423" s="10" t="str">
        <f>HYPERLINK(SUBSTITUTE(T(hl_0),"{0}","327331998397758"),hn_0)</f>
        <v>ОВ</v>
      </c>
      <c r="B423" s="9">
        <v>5000</v>
      </c>
      <c r="C423" s="11" t="s">
        <v>218</v>
      </c>
      <c r="D423" s="15" t="s">
        <v>224</v>
      </c>
      <c r="E423" s="11" t="s">
        <v>16</v>
      </c>
      <c r="F423" s="12" t="s">
        <v>1599</v>
      </c>
    </row>
    <row r="424" spans="1:6" ht="12.75">
      <c r="A424" s="10" t="str">
        <f>HYPERLINK(SUBSTITUTE(T(hl_0),"{0}","327331999860245"),hn_0)</f>
        <v>ОВ</v>
      </c>
      <c r="B424" s="9">
        <v>5000</v>
      </c>
      <c r="C424" s="11" t="s">
        <v>218</v>
      </c>
      <c r="D424" s="15" t="s">
        <v>224</v>
      </c>
      <c r="E424" s="11" t="s">
        <v>16</v>
      </c>
      <c r="F424" s="12" t="s">
        <v>1599</v>
      </c>
    </row>
    <row r="425" spans="1:6" ht="25.5">
      <c r="A425" s="10" t="str">
        <f>HYPERLINK(SUBSTITUTE(T(hl_0),"{0}","327332147880330"),hn_0)</f>
        <v>ОВ</v>
      </c>
      <c r="B425" s="9">
        <v>6000</v>
      </c>
      <c r="C425" s="11" t="s">
        <v>218</v>
      </c>
      <c r="D425" s="15" t="s">
        <v>1193</v>
      </c>
      <c r="E425" s="11" t="s">
        <v>16</v>
      </c>
      <c r="F425" s="12" t="s">
        <v>1599</v>
      </c>
    </row>
    <row r="426" spans="1:6" ht="25.5">
      <c r="A426" s="10" t="str">
        <f>HYPERLINK(SUBSTITUTE(T(hl_0),"{0}","328332148220817"),hn_0)</f>
        <v>ОВ</v>
      </c>
      <c r="B426" s="9">
        <v>6000</v>
      </c>
      <c r="C426" s="11" t="s">
        <v>218</v>
      </c>
      <c r="D426" s="15" t="s">
        <v>225</v>
      </c>
      <c r="E426" s="11" t="s">
        <v>226</v>
      </c>
      <c r="F426" s="11" t="s">
        <v>1599</v>
      </c>
    </row>
    <row r="427" spans="1:6" ht="12.75">
      <c r="A427" s="10" t="str">
        <f>HYPERLINK(SUBSTITUTE(T(hl_0),"{0}","329331649152029"),hn_0)</f>
        <v>ОВ</v>
      </c>
      <c r="B427" s="9">
        <v>6500</v>
      </c>
      <c r="C427" s="11" t="s">
        <v>218</v>
      </c>
      <c r="D427" s="15" t="s">
        <v>227</v>
      </c>
      <c r="E427" s="11" t="s">
        <v>44</v>
      </c>
      <c r="F427" s="11" t="s">
        <v>1599</v>
      </c>
    </row>
    <row r="428" spans="1:6" ht="12.75">
      <c r="A428" s="10" t="str">
        <f>HYPERLINK(SUBSTITUTE(T(hl_0),"{0}","329332252078233"),hn_0)</f>
        <v>ОВ</v>
      </c>
      <c r="B428" s="9">
        <v>7000</v>
      </c>
      <c r="C428" s="11" t="s">
        <v>218</v>
      </c>
      <c r="D428" s="15" t="s">
        <v>228</v>
      </c>
      <c r="E428" s="11" t="s">
        <v>229</v>
      </c>
      <c r="F428" s="11" t="s">
        <v>1599</v>
      </c>
    </row>
    <row r="429" spans="1:6" ht="12.75">
      <c r="A429" s="10" t="str">
        <f>HYPERLINK(SUBSTITUTE(T(hl_0),"{0}","329331791309491"),hn_0)</f>
        <v>ОВ</v>
      </c>
      <c r="B429" s="9">
        <v>7000</v>
      </c>
      <c r="C429" s="11" t="s">
        <v>218</v>
      </c>
      <c r="D429" s="15" t="s">
        <v>230</v>
      </c>
      <c r="E429" s="11" t="s">
        <v>44</v>
      </c>
      <c r="F429" s="11" t="s">
        <v>1599</v>
      </c>
    </row>
    <row r="430" spans="1:6" ht="12.75">
      <c r="A430" s="10" t="str">
        <f>HYPERLINK(SUBSTITUTE(T(hl_0),"{0}","329331534856243"),hn_0)</f>
        <v>ОВ</v>
      </c>
      <c r="B430" s="9">
        <v>6500</v>
      </c>
      <c r="C430" s="11" t="s">
        <v>218</v>
      </c>
      <c r="D430" s="15" t="s">
        <v>231</v>
      </c>
      <c r="E430" s="11" t="s">
        <v>44</v>
      </c>
      <c r="F430" s="11" t="s">
        <v>1599</v>
      </c>
    </row>
    <row r="431" spans="1:6" ht="38.25">
      <c r="A431" s="10" t="str">
        <f>HYPERLINK(SUBSTITUTE(T(hl_0),"{0}","335332224454919"),hn_0)</f>
        <v>ОВ</v>
      </c>
      <c r="B431" s="9">
        <v>7500</v>
      </c>
      <c r="C431" s="11" t="s">
        <v>218</v>
      </c>
      <c r="D431" s="15" t="s">
        <v>232</v>
      </c>
      <c r="E431" s="11" t="s">
        <v>233</v>
      </c>
      <c r="F431" s="11" t="s">
        <v>1599</v>
      </c>
    </row>
    <row r="432" spans="1:6" ht="12.75">
      <c r="A432" s="10" t="str">
        <f>HYPERLINK(SUBSTITUTE(T(hl_0),"{0}","900331648216277"),hn_0)</f>
        <v>ОВ</v>
      </c>
      <c r="B432" s="9">
        <v>4800</v>
      </c>
      <c r="C432" s="11" t="s">
        <v>218</v>
      </c>
      <c r="D432" s="15" t="s">
        <v>234</v>
      </c>
      <c r="E432" s="11" t="s">
        <v>16</v>
      </c>
      <c r="F432" s="12" t="s">
        <v>1599</v>
      </c>
    </row>
    <row r="433" spans="1:6" ht="12.75">
      <c r="A433" s="10" t="str">
        <f>HYPERLINK(SUBSTITUTE(T(hl_0),"{0}","900332025605976"),hn_0)</f>
        <v>ОВ</v>
      </c>
      <c r="B433" s="9">
        <v>4723</v>
      </c>
      <c r="C433" s="11" t="s">
        <v>218</v>
      </c>
      <c r="D433" s="15" t="s">
        <v>235</v>
      </c>
      <c r="E433" s="11" t="s">
        <v>16</v>
      </c>
      <c r="F433" s="12" t="s">
        <v>1599</v>
      </c>
    </row>
    <row r="434" spans="1:6" ht="25.5">
      <c r="A434" s="10" t="str">
        <f>HYPERLINK(SUBSTITUTE(T(hl_0),"{0}","900331561894511"),hn_0)</f>
        <v>ОВ</v>
      </c>
      <c r="B434" s="9">
        <v>5500</v>
      </c>
      <c r="C434" s="11" t="s">
        <v>218</v>
      </c>
      <c r="D434" s="15" t="s">
        <v>236</v>
      </c>
      <c r="E434" s="11" t="s">
        <v>16</v>
      </c>
      <c r="F434" s="12" t="s">
        <v>1599</v>
      </c>
    </row>
    <row r="435" spans="1:6" ht="25.5">
      <c r="A435" s="10" t="str">
        <f>HYPERLINK(SUBSTITUTE(T(hl_0),"{0}","900331994488772"),hn_0)</f>
        <v>ОВ</v>
      </c>
      <c r="B435" s="9">
        <v>4750</v>
      </c>
      <c r="C435" s="11" t="s">
        <v>218</v>
      </c>
      <c r="D435" s="15" t="s">
        <v>237</v>
      </c>
      <c r="E435" s="11" t="s">
        <v>16</v>
      </c>
      <c r="F435" s="12" t="s">
        <v>1599</v>
      </c>
    </row>
    <row r="436" spans="1:6" ht="12.75">
      <c r="A436" s="10" t="str">
        <f>HYPERLINK(SUBSTITUTE(T(hl_0),"{0}","900331900064930"),hn_0)</f>
        <v>ОВ</v>
      </c>
      <c r="B436" s="9">
        <v>8000</v>
      </c>
      <c r="C436" s="11" t="s">
        <v>218</v>
      </c>
      <c r="D436" s="15" t="s">
        <v>238</v>
      </c>
      <c r="E436" s="11" t="s">
        <v>16</v>
      </c>
      <c r="F436" s="12" t="s">
        <v>1599</v>
      </c>
    </row>
    <row r="437" spans="1:6" ht="12.75">
      <c r="A437" s="10" t="str">
        <f>HYPERLINK(SUBSTITUTE(T(hl_0),"{0}","900332246912860"),hn_0)</f>
        <v>ОВ</v>
      </c>
      <c r="B437" s="9">
        <v>7000</v>
      </c>
      <c r="C437" s="11" t="s">
        <v>218</v>
      </c>
      <c r="D437" s="15" t="s">
        <v>239</v>
      </c>
      <c r="E437" s="11" t="s">
        <v>16</v>
      </c>
      <c r="F437" s="12" t="s">
        <v>1599</v>
      </c>
    </row>
    <row r="438" spans="1:6" ht="25.5">
      <c r="A438" s="10" t="str">
        <f>HYPERLINK(SUBSTITUTE(T(hl_0),"{0}","900332252001359"),hn_0)</f>
        <v>ОВ</v>
      </c>
      <c r="B438" s="9">
        <v>4750</v>
      </c>
      <c r="C438" s="11" t="s">
        <v>218</v>
      </c>
      <c r="D438" s="15" t="s">
        <v>237</v>
      </c>
      <c r="E438" s="11" t="s">
        <v>16</v>
      </c>
      <c r="F438" s="12" t="s">
        <v>1599</v>
      </c>
    </row>
    <row r="439" spans="1:6" ht="25.5">
      <c r="A439" s="10" t="str">
        <f>HYPERLINK(SUBSTITUTE(T(hl_0),"{0}","900330547737994"),hn_0)</f>
        <v>ОВ</v>
      </c>
      <c r="B439" s="9">
        <v>4723</v>
      </c>
      <c r="C439" s="11" t="s">
        <v>218</v>
      </c>
      <c r="D439" s="15" t="s">
        <v>240</v>
      </c>
      <c r="E439" s="11" t="s">
        <v>16</v>
      </c>
      <c r="F439" s="12" t="s">
        <v>1599</v>
      </c>
    </row>
    <row r="440" spans="1:6" ht="51">
      <c r="A440" s="10" t="str">
        <f>HYPERLINK(SUBSTITUTE(T(hl_0),"{0}","900328475943880"),hn_0)</f>
        <v>ОВ</v>
      </c>
      <c r="B440" s="9">
        <v>4835</v>
      </c>
      <c r="C440" s="11" t="s">
        <v>218</v>
      </c>
      <c r="D440" s="15" t="s">
        <v>241</v>
      </c>
      <c r="E440" s="11" t="s">
        <v>242</v>
      </c>
      <c r="F440" s="12" t="s">
        <v>1599</v>
      </c>
    </row>
    <row r="441" spans="1:6" ht="12.75">
      <c r="A441" s="10" t="str">
        <f>HYPERLINK(SUBSTITUTE(T(hl_0),"{0}","900328324032653"),hn_0)</f>
        <v>ОВ</v>
      </c>
      <c r="B441" s="9">
        <v>8000</v>
      </c>
      <c r="C441" s="11" t="s">
        <v>218</v>
      </c>
      <c r="D441" s="15" t="s">
        <v>243</v>
      </c>
      <c r="E441" s="11" t="s">
        <v>244</v>
      </c>
      <c r="F441" s="12" t="s">
        <v>1599</v>
      </c>
    </row>
    <row r="442" spans="1:6" ht="12.75">
      <c r="A442" s="10" t="str">
        <f>HYPERLINK(SUBSTITUTE(T(hl_0),"{0}","900328159100308"),hn_0)</f>
        <v>ОВ</v>
      </c>
      <c r="B442" s="9">
        <v>6143</v>
      </c>
      <c r="C442" s="11" t="s">
        <v>218</v>
      </c>
      <c r="D442" s="15" t="s">
        <v>245</v>
      </c>
      <c r="E442" s="11" t="s">
        <v>16</v>
      </c>
      <c r="F442" s="12" t="s">
        <v>1599</v>
      </c>
    </row>
    <row r="443" spans="1:6" ht="51">
      <c r="A443" s="10" t="str">
        <f>HYPERLINK(SUBSTITUTE(T(hl_0),"{0}","900328137541327"),hn_0)</f>
        <v>ОВ</v>
      </c>
      <c r="B443" s="9">
        <v>4835</v>
      </c>
      <c r="C443" s="11" t="s">
        <v>218</v>
      </c>
      <c r="D443" s="15" t="s">
        <v>246</v>
      </c>
      <c r="E443" s="11" t="s">
        <v>242</v>
      </c>
      <c r="F443" s="12" t="s">
        <v>1599</v>
      </c>
    </row>
    <row r="444" spans="1:6" ht="12.75">
      <c r="A444" s="10" t="str">
        <f>HYPERLINK(SUBSTITUTE(T(hl_0),"{0}","900328299945184"),hn_0)</f>
        <v>ОВ</v>
      </c>
      <c r="B444" s="9">
        <v>5000</v>
      </c>
      <c r="C444" s="11" t="s">
        <v>218</v>
      </c>
      <c r="D444" s="15" t="s">
        <v>247</v>
      </c>
      <c r="E444" s="11" t="s">
        <v>16</v>
      </c>
      <c r="F444" s="12" t="s">
        <v>1599</v>
      </c>
    </row>
    <row r="445" spans="1:6" ht="12.75">
      <c r="A445" s="10" t="str">
        <f>HYPERLINK(SUBSTITUTE(T(hl_0),"{0}","900328299926445"),hn_0)</f>
        <v>ОВ</v>
      </c>
      <c r="B445" s="9">
        <v>5000</v>
      </c>
      <c r="C445" s="11" t="s">
        <v>218</v>
      </c>
      <c r="D445" s="15" t="s">
        <v>247</v>
      </c>
      <c r="E445" s="11" t="s">
        <v>16</v>
      </c>
      <c r="F445" s="12" t="s">
        <v>1599</v>
      </c>
    </row>
    <row r="446" spans="1:6" ht="25.5">
      <c r="A446" s="10" t="str">
        <f>HYPERLINK(SUBSTITUTE(T(hl_0),"{0}","900327837520463"),hn_0)</f>
        <v>ОВ</v>
      </c>
      <c r="B446" s="9">
        <v>6200</v>
      </c>
      <c r="C446" s="11" t="s">
        <v>218</v>
      </c>
      <c r="D446" s="15" t="s">
        <v>248</v>
      </c>
      <c r="E446" s="11" t="s">
        <v>16</v>
      </c>
      <c r="F446" s="12" t="s">
        <v>1599</v>
      </c>
    </row>
    <row r="447" spans="1:6" ht="25.5">
      <c r="A447" s="10" t="str">
        <f>HYPERLINK(SUBSTITUTE(T(hl_0),"{0}","900328300172115"),hn_0)</f>
        <v>ОВ</v>
      </c>
      <c r="B447" s="9">
        <v>5000</v>
      </c>
      <c r="C447" s="11" t="s">
        <v>218</v>
      </c>
      <c r="D447" s="15" t="s">
        <v>249</v>
      </c>
      <c r="E447" s="11" t="s">
        <v>16</v>
      </c>
      <c r="F447" s="12" t="s">
        <v>1599</v>
      </c>
    </row>
    <row r="448" spans="1:6" ht="12.75">
      <c r="A448" s="10" t="str">
        <f>HYPERLINK(SUBSTITUTE(T(hl_0),"{0}","900331561359302"),hn_0)</f>
        <v>ОВ</v>
      </c>
      <c r="B448" s="9">
        <v>7000</v>
      </c>
      <c r="C448" s="11" t="s">
        <v>218</v>
      </c>
      <c r="D448" s="15" t="s">
        <v>250</v>
      </c>
      <c r="E448" s="11" t="s">
        <v>16</v>
      </c>
      <c r="F448" s="12" t="s">
        <v>1599</v>
      </c>
    </row>
    <row r="449" spans="1:6" ht="12.75">
      <c r="A449" s="10" t="str">
        <f>HYPERLINK(SUBSTITUTE(T(hl_0),"{0}","900332145124495"),hn_0)</f>
        <v>ОВ</v>
      </c>
      <c r="B449" s="9">
        <v>7000</v>
      </c>
      <c r="C449" s="11" t="s">
        <v>218</v>
      </c>
      <c r="D449" s="15" t="s">
        <v>251</v>
      </c>
      <c r="E449" s="11" t="s">
        <v>16</v>
      </c>
      <c r="F449" s="12" t="s">
        <v>1599</v>
      </c>
    </row>
    <row r="450" spans="1:6" ht="12.75">
      <c r="A450" s="10" t="str">
        <f>HYPERLINK(SUBSTITUTE(T(hl_0),"{0}","900331561336736"),hn_0)</f>
        <v>ОВ</v>
      </c>
      <c r="B450" s="9">
        <v>7000</v>
      </c>
      <c r="C450" s="11" t="s">
        <v>218</v>
      </c>
      <c r="D450" s="15" t="s">
        <v>250</v>
      </c>
      <c r="E450" s="11" t="s">
        <v>16</v>
      </c>
      <c r="F450" s="12" t="s">
        <v>1599</v>
      </c>
    </row>
    <row r="451" spans="1:6" ht="25.5">
      <c r="A451" s="10" t="str">
        <f>HYPERLINK(SUBSTITUTE(T(hl_0),"{0}","327331702739596"),hn_0)</f>
        <v>ОВ</v>
      </c>
      <c r="B451" s="9">
        <v>4750</v>
      </c>
      <c r="C451" s="11" t="s">
        <v>252</v>
      </c>
      <c r="D451" s="15" t="s">
        <v>253</v>
      </c>
      <c r="E451" s="11" t="s">
        <v>254</v>
      </c>
      <c r="F451" s="12" t="s">
        <v>1599</v>
      </c>
    </row>
    <row r="452" spans="1:6" ht="25.5">
      <c r="A452" s="10" t="str">
        <f>HYPERLINK(SUBSTITUTE(T(hl_0),"{0}","327331702736522"),hn_0)</f>
        <v>ОВ</v>
      </c>
      <c r="B452" s="9">
        <v>4750</v>
      </c>
      <c r="C452" s="11" t="s">
        <v>252</v>
      </c>
      <c r="D452" s="15" t="s">
        <v>253</v>
      </c>
      <c r="E452" s="11" t="s">
        <v>255</v>
      </c>
      <c r="F452" s="12" t="s">
        <v>1599</v>
      </c>
    </row>
    <row r="453" spans="1:6" ht="38.25">
      <c r="A453" s="10" t="str">
        <f>HYPERLINK(SUBSTITUTE(T(hl_0),"{0}","319332077597414"),hn_0)</f>
        <v>ОВ</v>
      </c>
      <c r="B453" s="9">
        <v>5500</v>
      </c>
      <c r="C453" s="11" t="s">
        <v>256</v>
      </c>
      <c r="D453" s="15" t="s">
        <v>257</v>
      </c>
      <c r="E453" s="11" t="s">
        <v>22</v>
      </c>
      <c r="F453" s="11" t="s">
        <v>1599</v>
      </c>
    </row>
    <row r="454" spans="1:6" ht="38.25">
      <c r="A454" s="10" t="str">
        <f>HYPERLINK(SUBSTITUTE(T(hl_0),"{0}","326332079602260"),hn_0)</f>
        <v>ОВ</v>
      </c>
      <c r="B454" s="9">
        <v>5500</v>
      </c>
      <c r="C454" s="11" t="s">
        <v>256</v>
      </c>
      <c r="D454" s="15" t="s">
        <v>1194</v>
      </c>
      <c r="E454" s="11" t="s">
        <v>258</v>
      </c>
      <c r="F454" s="12" t="s">
        <v>1599</v>
      </c>
    </row>
    <row r="455" spans="1:6" ht="38.25">
      <c r="A455" s="10" t="str">
        <f>HYPERLINK(SUBSTITUTE(T(hl_0),"{0}","326331702731470"),hn_0)</f>
        <v>ОВ</v>
      </c>
      <c r="B455" s="9">
        <v>6000</v>
      </c>
      <c r="C455" s="11" t="s">
        <v>256</v>
      </c>
      <c r="D455" s="15" t="s">
        <v>1195</v>
      </c>
      <c r="E455" s="11" t="s">
        <v>258</v>
      </c>
      <c r="F455" s="12" t="s">
        <v>1599</v>
      </c>
    </row>
    <row r="456" spans="1:6" ht="25.5">
      <c r="A456" s="10" t="str">
        <f>HYPERLINK(SUBSTITUTE(T(hl_0),"{0}","329331649189927"),hn_0)</f>
        <v>ОВ</v>
      </c>
      <c r="B456" s="9">
        <v>6000</v>
      </c>
      <c r="C456" s="11" t="s">
        <v>256</v>
      </c>
      <c r="D456" s="15" t="s">
        <v>259</v>
      </c>
      <c r="E456" s="11" t="s">
        <v>44</v>
      </c>
      <c r="F456" s="11" t="s">
        <v>1599</v>
      </c>
    </row>
    <row r="457" spans="1:6" ht="25.5">
      <c r="A457" s="10" t="str">
        <f>HYPERLINK(SUBSTITUTE(T(hl_0),"{0}","332332147793758"),hn_0)</f>
        <v>ОВ</v>
      </c>
      <c r="B457" s="9">
        <v>5000</v>
      </c>
      <c r="C457" s="11" t="s">
        <v>256</v>
      </c>
      <c r="D457" s="15" t="s">
        <v>260</v>
      </c>
      <c r="E457" s="11" t="s">
        <v>14</v>
      </c>
      <c r="F457" s="11" t="s">
        <v>1599</v>
      </c>
    </row>
    <row r="458" spans="1:6" ht="25.5">
      <c r="A458" s="10" t="str">
        <f>HYPERLINK(SUBSTITUTE(T(hl_0),"{0}","334331872103611"),hn_0)</f>
        <v>ОВ</v>
      </c>
      <c r="B458" s="9">
        <v>4800</v>
      </c>
      <c r="C458" s="11" t="s">
        <v>256</v>
      </c>
      <c r="D458" s="15" t="s">
        <v>1196</v>
      </c>
      <c r="E458" s="11" t="s">
        <v>261</v>
      </c>
      <c r="F458" s="11" t="s">
        <v>1599</v>
      </c>
    </row>
    <row r="459" spans="1:6" ht="38.25">
      <c r="A459" s="10" t="str">
        <f>HYPERLINK(SUBSTITUTE(T(hl_0),"{0}","334331848662636"),hn_0)</f>
        <v>ОВ</v>
      </c>
      <c r="B459" s="9">
        <v>4800</v>
      </c>
      <c r="C459" s="11" t="s">
        <v>256</v>
      </c>
      <c r="D459" s="15" t="s">
        <v>1197</v>
      </c>
      <c r="E459" s="11" t="s">
        <v>261</v>
      </c>
      <c r="F459" s="11" t="s">
        <v>1599</v>
      </c>
    </row>
    <row r="460" spans="1:6" ht="38.25">
      <c r="A460" s="10" t="str">
        <f>HYPERLINK(SUBSTITUTE(T(hl_0),"{0}","335331288322683"),hn_0)</f>
        <v>ОВ</v>
      </c>
      <c r="B460" s="9">
        <v>6500</v>
      </c>
      <c r="C460" s="11" t="s">
        <v>256</v>
      </c>
      <c r="D460" s="15" t="s">
        <v>262</v>
      </c>
      <c r="E460" s="11" t="s">
        <v>233</v>
      </c>
      <c r="F460" s="11" t="s">
        <v>1599</v>
      </c>
    </row>
    <row r="461" spans="1:6" ht="12.75">
      <c r="A461" s="10" t="str">
        <f>HYPERLINK(SUBSTITUTE(T(hl_0),"{0}","900331675171322"),hn_0)</f>
        <v>ОВ</v>
      </c>
      <c r="B461" s="9">
        <v>6000</v>
      </c>
      <c r="C461" s="11" t="s">
        <v>256</v>
      </c>
      <c r="D461" s="15" t="s">
        <v>263</v>
      </c>
      <c r="E461" s="11" t="s">
        <v>254</v>
      </c>
      <c r="F461" s="12" t="s">
        <v>1599</v>
      </c>
    </row>
    <row r="462" spans="1:6" ht="38.25">
      <c r="A462" s="10" t="str">
        <f>HYPERLINK(SUBSTITUTE(T(hl_0),"{0}","900331994555822"),hn_0)</f>
        <v>ОВ</v>
      </c>
      <c r="B462" s="9">
        <v>4750</v>
      </c>
      <c r="C462" s="11" t="s">
        <v>256</v>
      </c>
      <c r="D462" s="15" t="s">
        <v>264</v>
      </c>
      <c r="E462" s="11" t="s">
        <v>16</v>
      </c>
      <c r="F462" s="12" t="s">
        <v>1599</v>
      </c>
    </row>
    <row r="463" spans="1:6" ht="12.75">
      <c r="A463" s="10" t="str">
        <f>HYPERLINK(SUBSTITUTE(T(hl_0),"{0}","900331675167782"),hn_0)</f>
        <v>ОВ</v>
      </c>
      <c r="B463" s="9">
        <v>6000</v>
      </c>
      <c r="C463" s="11" t="s">
        <v>256</v>
      </c>
      <c r="D463" s="15" t="s">
        <v>263</v>
      </c>
      <c r="E463" s="11" t="s">
        <v>42</v>
      </c>
      <c r="F463" s="12" t="s">
        <v>1599</v>
      </c>
    </row>
    <row r="464" spans="1:6" ht="12.75">
      <c r="A464" s="10" t="str">
        <f>HYPERLINK(SUBSTITUTE(T(hl_0),"{0}","900328249243864"),hn_0)</f>
        <v>ОВ</v>
      </c>
      <c r="B464" s="9">
        <v>7000</v>
      </c>
      <c r="C464" s="11" t="s">
        <v>256</v>
      </c>
      <c r="D464" s="15" t="s">
        <v>265</v>
      </c>
      <c r="E464" s="11" t="s">
        <v>16</v>
      </c>
      <c r="F464" s="12" t="s">
        <v>1599</v>
      </c>
    </row>
    <row r="465" spans="1:6" ht="38.25">
      <c r="A465" s="10" t="str">
        <f>HYPERLINK(SUBSTITUTE(T(hl_0),"{0}","900331794175327"),hn_0)</f>
        <v>ОВ</v>
      </c>
      <c r="B465" s="9">
        <v>4725</v>
      </c>
      <c r="C465" s="11" t="s">
        <v>256</v>
      </c>
      <c r="D465" s="15" t="s">
        <v>266</v>
      </c>
      <c r="E465" s="11" t="s">
        <v>16</v>
      </c>
      <c r="F465" s="12" t="s">
        <v>1599</v>
      </c>
    </row>
    <row r="466" spans="1:6" ht="38.25">
      <c r="A466" s="10" t="str">
        <f>HYPERLINK(SUBSTITUTE(T(hl_0),"{0}","900331794158661"),hn_0)</f>
        <v>ОВ</v>
      </c>
      <c r="B466" s="9">
        <v>4725</v>
      </c>
      <c r="C466" s="11" t="s">
        <v>256</v>
      </c>
      <c r="D466" s="15" t="s">
        <v>266</v>
      </c>
      <c r="E466" s="11" t="s">
        <v>16</v>
      </c>
      <c r="F466" s="12" t="s">
        <v>1599</v>
      </c>
    </row>
    <row r="467" spans="1:6" ht="25.5">
      <c r="A467" s="10" t="str">
        <f>HYPERLINK(SUBSTITUTE(T(hl_0),"{0}","900328324039782"),hn_0)</f>
        <v>ОВ</v>
      </c>
      <c r="B467" s="9">
        <v>8000</v>
      </c>
      <c r="C467" s="11" t="s">
        <v>256</v>
      </c>
      <c r="D467" s="15" t="s">
        <v>267</v>
      </c>
      <c r="E467" s="11" t="s">
        <v>244</v>
      </c>
      <c r="F467" s="12" t="s">
        <v>1599</v>
      </c>
    </row>
    <row r="468" spans="1:6" ht="63.75">
      <c r="A468" s="10" t="str">
        <f>HYPERLINK(SUBSTITUTE(T(hl_0),"{0}","324332147938032"),hn_0)</f>
        <v>ОВ</v>
      </c>
      <c r="B468" s="9">
        <v>5000</v>
      </c>
      <c r="C468" s="11" t="s">
        <v>268</v>
      </c>
      <c r="D468" s="15" t="s">
        <v>1198</v>
      </c>
      <c r="E468" s="11" t="s">
        <v>269</v>
      </c>
      <c r="F468" s="11" t="s">
        <v>1599</v>
      </c>
    </row>
    <row r="469" spans="1:6" ht="76.5">
      <c r="A469" s="10" t="str">
        <f>HYPERLINK(SUBSTITUTE(T(hl_0),"{0}","324332147967998"),hn_0)</f>
        <v>ОВ</v>
      </c>
      <c r="B469" s="9">
        <v>5000</v>
      </c>
      <c r="C469" s="11" t="s">
        <v>268</v>
      </c>
      <c r="D469" s="15" t="s">
        <v>270</v>
      </c>
      <c r="E469" s="11" t="s">
        <v>269</v>
      </c>
      <c r="F469" s="11" t="s">
        <v>1599</v>
      </c>
    </row>
    <row r="470" spans="1:6" ht="63.75">
      <c r="A470" s="10" t="str">
        <f>HYPERLINK(SUBSTITUTE(T(hl_0),"{0}","330328502114780"),hn_0)</f>
        <v>ОВ</v>
      </c>
      <c r="B470" s="9">
        <v>5000</v>
      </c>
      <c r="C470" s="11" t="s">
        <v>268</v>
      </c>
      <c r="D470" s="15" t="s">
        <v>1199</v>
      </c>
      <c r="E470" s="11" t="s">
        <v>45</v>
      </c>
      <c r="F470" s="11" t="s">
        <v>1599</v>
      </c>
    </row>
    <row r="471" spans="1:6" ht="25.5">
      <c r="A471" s="10" t="str">
        <f>HYPERLINK(SUBSTITUTE(T(hl_0),"{0}","320329968413960"),hn_0)</f>
        <v>ОВ</v>
      </c>
      <c r="B471" s="9">
        <v>6000</v>
      </c>
      <c r="C471" s="11" t="s">
        <v>271</v>
      </c>
      <c r="D471" s="15" t="s">
        <v>1200</v>
      </c>
      <c r="E471" s="11" t="s">
        <v>23</v>
      </c>
      <c r="F471" s="12" t="s">
        <v>1599</v>
      </c>
    </row>
    <row r="472" spans="1:6" ht="25.5">
      <c r="A472" s="10" t="str">
        <f>HYPERLINK(SUBSTITUTE(T(hl_0),"{0}","320329968415698"),hn_0)</f>
        <v>ОВ</v>
      </c>
      <c r="B472" s="9">
        <v>6000</v>
      </c>
      <c r="C472" s="11" t="s">
        <v>271</v>
      </c>
      <c r="D472" s="15" t="s">
        <v>1200</v>
      </c>
      <c r="E472" s="11" t="s">
        <v>23</v>
      </c>
      <c r="F472" s="12" t="s">
        <v>1599</v>
      </c>
    </row>
    <row r="473" spans="1:6" ht="25.5">
      <c r="A473" s="10" t="str">
        <f>HYPERLINK(SUBSTITUTE(T(hl_0),"{0}","320329967685945"),hn_0)</f>
        <v>ОВ</v>
      </c>
      <c r="B473" s="9">
        <v>6000</v>
      </c>
      <c r="C473" s="11" t="s">
        <v>271</v>
      </c>
      <c r="D473" s="15" t="s">
        <v>1200</v>
      </c>
      <c r="E473" s="11" t="s">
        <v>23</v>
      </c>
      <c r="F473" s="12" t="s">
        <v>1599</v>
      </c>
    </row>
    <row r="474" spans="1:6" ht="25.5">
      <c r="A474" s="10" t="str">
        <f>HYPERLINK(SUBSTITUTE(T(hl_0),"{0}","320329967689102"),hn_0)</f>
        <v>ОВ</v>
      </c>
      <c r="B474" s="9">
        <v>6000</v>
      </c>
      <c r="C474" s="11" t="s">
        <v>271</v>
      </c>
      <c r="D474" s="15" t="s">
        <v>1200</v>
      </c>
      <c r="E474" s="11" t="s">
        <v>23</v>
      </c>
      <c r="F474" s="12" t="s">
        <v>1599</v>
      </c>
    </row>
    <row r="475" spans="1:6" ht="25.5">
      <c r="A475" s="10" t="str">
        <f>HYPERLINK(SUBSTITUTE(T(hl_0),"{0}","321332223402899"),hn_0)</f>
        <v>ОВ</v>
      </c>
      <c r="B475" s="9">
        <v>5200</v>
      </c>
      <c r="C475" s="11" t="s">
        <v>271</v>
      </c>
      <c r="D475" s="15" t="s">
        <v>1201</v>
      </c>
      <c r="E475" s="11" t="s">
        <v>20</v>
      </c>
      <c r="F475" s="12" t="s">
        <v>1599</v>
      </c>
    </row>
    <row r="476" spans="1:6" ht="25.5">
      <c r="A476" s="10" t="str">
        <f>HYPERLINK(SUBSTITUTE(T(hl_0),"{0}","321327963101437"),hn_0)</f>
        <v>ОВ</v>
      </c>
      <c r="B476" s="9">
        <v>6000</v>
      </c>
      <c r="C476" s="11" t="s">
        <v>271</v>
      </c>
      <c r="D476" s="15" t="s">
        <v>1201</v>
      </c>
      <c r="E476" s="11" t="s">
        <v>64</v>
      </c>
      <c r="F476" s="12" t="s">
        <v>1599</v>
      </c>
    </row>
    <row r="477" spans="1:6" ht="63.75">
      <c r="A477" s="10" t="str">
        <f>HYPERLINK(SUBSTITUTE(T(hl_0),"{0}","321328012531076"),hn_0)</f>
        <v>ОВ</v>
      </c>
      <c r="B477" s="9">
        <v>8200</v>
      </c>
      <c r="C477" s="11" t="s">
        <v>271</v>
      </c>
      <c r="D477" s="15" t="s">
        <v>1202</v>
      </c>
      <c r="E477" s="11" t="s">
        <v>20</v>
      </c>
      <c r="F477" s="12" t="s">
        <v>1599</v>
      </c>
    </row>
    <row r="478" spans="1:6" ht="25.5">
      <c r="A478" s="10" t="str">
        <f>HYPERLINK(SUBSTITUTE(T(hl_0),"{0}","322331676019793"),hn_0)</f>
        <v>ОВ</v>
      </c>
      <c r="B478" s="9">
        <v>5500</v>
      </c>
      <c r="C478" s="11" t="s">
        <v>271</v>
      </c>
      <c r="D478" s="15" t="s">
        <v>272</v>
      </c>
      <c r="E478" s="11" t="s">
        <v>37</v>
      </c>
      <c r="F478" s="12" t="s">
        <v>1599</v>
      </c>
    </row>
    <row r="479" spans="1:6" ht="25.5">
      <c r="A479" s="10" t="str">
        <f>HYPERLINK(SUBSTITUTE(T(hl_0),"{0}","327331819141715"),hn_0)</f>
        <v>ОВ</v>
      </c>
      <c r="B479" s="9">
        <v>5000</v>
      </c>
      <c r="C479" s="11" t="s">
        <v>271</v>
      </c>
      <c r="D479" s="15" t="s">
        <v>273</v>
      </c>
      <c r="E479" s="11" t="s">
        <v>79</v>
      </c>
      <c r="F479" s="12" t="s">
        <v>1599</v>
      </c>
    </row>
    <row r="480" spans="1:6" ht="25.5">
      <c r="A480" s="10" t="str">
        <f>HYPERLINK(SUBSTITUTE(T(hl_0),"{0}","327331819138187"),hn_0)</f>
        <v>ОВ</v>
      </c>
      <c r="B480" s="9">
        <v>5000</v>
      </c>
      <c r="C480" s="11" t="s">
        <v>271</v>
      </c>
      <c r="D480" s="15" t="s">
        <v>273</v>
      </c>
      <c r="E480" s="11" t="s">
        <v>79</v>
      </c>
      <c r="F480" s="12" t="s">
        <v>1599</v>
      </c>
    </row>
    <row r="481" spans="1:6" ht="25.5">
      <c r="A481" s="10" t="str">
        <f>HYPERLINK(SUBSTITUTE(T(hl_0),"{0}","327331819141724"),hn_0)</f>
        <v>ОВ</v>
      </c>
      <c r="B481" s="9">
        <v>5000</v>
      </c>
      <c r="C481" s="11" t="s">
        <v>271</v>
      </c>
      <c r="D481" s="15" t="s">
        <v>273</v>
      </c>
      <c r="E481" s="11" t="s">
        <v>79</v>
      </c>
      <c r="F481" s="12" t="s">
        <v>1599</v>
      </c>
    </row>
    <row r="482" spans="1:6" ht="12.75">
      <c r="A482" s="10" t="str">
        <f>HYPERLINK(SUBSTITUTE(T(hl_0),"{0}","329330019461829"),hn_0)</f>
        <v>ОВ</v>
      </c>
      <c r="B482" s="9">
        <v>8000</v>
      </c>
      <c r="C482" s="11" t="s">
        <v>271</v>
      </c>
      <c r="D482" s="15" t="s">
        <v>274</v>
      </c>
      <c r="E482" s="11" t="s">
        <v>275</v>
      </c>
      <c r="F482" s="11" t="s">
        <v>1599</v>
      </c>
    </row>
    <row r="483" spans="1:6" ht="12.75">
      <c r="A483" s="10" t="str">
        <f>HYPERLINK(SUBSTITUTE(T(hl_0),"{0}","332332147770729"),hn_0)</f>
        <v>ОВ</v>
      </c>
      <c r="B483" s="9">
        <v>5000</v>
      </c>
      <c r="C483" s="11" t="s">
        <v>271</v>
      </c>
      <c r="D483" s="15" t="s">
        <v>276</v>
      </c>
      <c r="E483" s="11" t="s">
        <v>14</v>
      </c>
      <c r="F483" s="11" t="s">
        <v>1599</v>
      </c>
    </row>
    <row r="484" spans="1:6" ht="51">
      <c r="A484" s="10" t="str">
        <f>HYPERLINK(SUBSTITUTE(T(hl_0),"{0}","335331535771621"),hn_0)</f>
        <v>ОВ</v>
      </c>
      <c r="B484" s="9">
        <v>6540</v>
      </c>
      <c r="C484" s="11" t="s">
        <v>271</v>
      </c>
      <c r="D484" s="15" t="s">
        <v>277</v>
      </c>
      <c r="E484" s="11" t="s">
        <v>233</v>
      </c>
      <c r="F484" s="11" t="s">
        <v>1599</v>
      </c>
    </row>
    <row r="485" spans="1:6" ht="51">
      <c r="A485" s="10" t="str">
        <f>HYPERLINK(SUBSTITUTE(T(hl_0),"{0}","900331994490705"),hn_0)</f>
        <v>ОВ</v>
      </c>
      <c r="B485" s="9">
        <v>4750</v>
      </c>
      <c r="C485" s="11" t="s">
        <v>271</v>
      </c>
      <c r="D485" s="15" t="s">
        <v>278</v>
      </c>
      <c r="E485" s="11" t="s">
        <v>16</v>
      </c>
      <c r="F485" s="12" t="s">
        <v>1599</v>
      </c>
    </row>
    <row r="486" spans="1:6" ht="51">
      <c r="A486" s="10" t="str">
        <f>HYPERLINK(SUBSTITUTE(T(hl_0),"{0}","900331994505725"),hn_0)</f>
        <v>ОВ</v>
      </c>
      <c r="B486" s="9">
        <v>4750</v>
      </c>
      <c r="C486" s="11" t="s">
        <v>271</v>
      </c>
      <c r="D486" s="15" t="s">
        <v>278</v>
      </c>
      <c r="E486" s="11" t="s">
        <v>16</v>
      </c>
      <c r="F486" s="12" t="s">
        <v>1599</v>
      </c>
    </row>
    <row r="487" spans="1:6" ht="25.5">
      <c r="A487" s="10" t="str">
        <f>HYPERLINK(SUBSTITUTE(T(hl_0),"{0}","900332247303712"),hn_0)</f>
        <v>ОВ</v>
      </c>
      <c r="B487" s="9">
        <v>5000</v>
      </c>
      <c r="C487" s="11" t="s">
        <v>271</v>
      </c>
      <c r="D487" s="15" t="s">
        <v>279</v>
      </c>
      <c r="E487" s="11" t="s">
        <v>16</v>
      </c>
      <c r="F487" s="12" t="s">
        <v>1599</v>
      </c>
    </row>
    <row r="488" spans="1:6" ht="12.75">
      <c r="A488" s="10" t="str">
        <f>HYPERLINK(SUBSTITUTE(T(hl_0),"{0}","900332195358767"),hn_0)</f>
        <v>ОВ</v>
      </c>
      <c r="B488" s="9">
        <v>4723</v>
      </c>
      <c r="C488" s="11" t="s">
        <v>271</v>
      </c>
      <c r="D488" s="15" t="s">
        <v>280</v>
      </c>
      <c r="E488" s="11" t="s">
        <v>16</v>
      </c>
      <c r="F488" s="12" t="s">
        <v>1599</v>
      </c>
    </row>
    <row r="489" spans="1:6" ht="25.5">
      <c r="A489" s="10" t="str">
        <f>HYPERLINK(SUBSTITUTE(T(hl_0),"{0}","900332247340073"),hn_0)</f>
        <v>ОВ</v>
      </c>
      <c r="B489" s="9">
        <v>5000</v>
      </c>
      <c r="C489" s="11" t="s">
        <v>271</v>
      </c>
      <c r="D489" s="15" t="s">
        <v>279</v>
      </c>
      <c r="E489" s="11" t="s">
        <v>16</v>
      </c>
      <c r="F489" s="12" t="s">
        <v>1599</v>
      </c>
    </row>
    <row r="490" spans="1:6" ht="25.5">
      <c r="A490" s="10" t="str">
        <f>HYPERLINK(SUBSTITUTE(T(hl_0),"{0}","900331314424879"),hn_0)</f>
        <v>ОВ</v>
      </c>
      <c r="B490" s="9">
        <v>6500</v>
      </c>
      <c r="C490" s="11" t="s">
        <v>271</v>
      </c>
      <c r="D490" s="15" t="s">
        <v>281</v>
      </c>
      <c r="E490" s="11" t="s">
        <v>16</v>
      </c>
      <c r="F490" s="12" t="s">
        <v>1599</v>
      </c>
    </row>
    <row r="491" spans="1:6" ht="25.5">
      <c r="A491" s="10" t="str">
        <f>HYPERLINK(SUBSTITUTE(T(hl_0),"{0}","900328324429685"),hn_0)</f>
        <v>ОВ</v>
      </c>
      <c r="B491" s="9">
        <v>7000</v>
      </c>
      <c r="C491" s="11" t="s">
        <v>271</v>
      </c>
      <c r="D491" s="15" t="s">
        <v>282</v>
      </c>
      <c r="E491" s="11" t="s">
        <v>16</v>
      </c>
      <c r="F491" s="12" t="s">
        <v>1599</v>
      </c>
    </row>
    <row r="492" spans="1:6" ht="38.25">
      <c r="A492" s="10" t="str">
        <f>HYPERLINK(SUBSTITUTE(T(hl_0),"{0}","900328248961099"),hn_0)</f>
        <v>ОВ</v>
      </c>
      <c r="B492" s="9">
        <v>5500</v>
      </c>
      <c r="C492" s="11" t="s">
        <v>271</v>
      </c>
      <c r="D492" s="15" t="s">
        <v>283</v>
      </c>
      <c r="E492" s="11" t="s">
        <v>16</v>
      </c>
      <c r="F492" s="12" t="s">
        <v>1599</v>
      </c>
    </row>
    <row r="493" spans="1:6" ht="12.75">
      <c r="A493" s="10" t="str">
        <f>HYPERLINK(SUBSTITUTE(T(hl_0),"{0}","900331843134132"),hn_0)</f>
        <v>ОВ</v>
      </c>
      <c r="B493" s="9">
        <v>7000</v>
      </c>
      <c r="C493" s="11" t="s">
        <v>271</v>
      </c>
      <c r="D493" s="15" t="s">
        <v>284</v>
      </c>
      <c r="E493" s="11" t="s">
        <v>16</v>
      </c>
      <c r="F493" s="12" t="s">
        <v>1599</v>
      </c>
    </row>
    <row r="494" spans="1:6" ht="12.75">
      <c r="A494" s="10" t="str">
        <f>HYPERLINK(SUBSTITUTE(T(hl_0),"{0}","900331701587917"),hn_0)</f>
        <v>ОВ</v>
      </c>
      <c r="B494" s="9">
        <v>7000</v>
      </c>
      <c r="C494" s="11" t="s">
        <v>271</v>
      </c>
      <c r="D494" s="15" t="s">
        <v>285</v>
      </c>
      <c r="E494" s="11" t="s">
        <v>16</v>
      </c>
      <c r="F494" s="12" t="s">
        <v>1599</v>
      </c>
    </row>
    <row r="495" spans="1:6" ht="12.75">
      <c r="A495" s="10" t="str">
        <f>HYPERLINK(SUBSTITUTE(T(hl_0),"{0}","900331676284227"),hn_0)</f>
        <v>ОВ</v>
      </c>
      <c r="B495" s="9">
        <v>6500</v>
      </c>
      <c r="C495" s="11" t="s">
        <v>271</v>
      </c>
      <c r="D495" s="15" t="s">
        <v>286</v>
      </c>
      <c r="E495" s="11" t="s">
        <v>16</v>
      </c>
      <c r="F495" s="12" t="s">
        <v>1599</v>
      </c>
    </row>
    <row r="496" spans="1:6" ht="25.5">
      <c r="A496" s="10" t="str">
        <f>HYPERLINK(SUBSTITUTE(T(hl_0),"{0}","900328324035545"),hn_0)</f>
        <v>ОВ</v>
      </c>
      <c r="B496" s="9">
        <v>7000</v>
      </c>
      <c r="C496" s="11" t="s">
        <v>271</v>
      </c>
      <c r="D496" s="15" t="s">
        <v>287</v>
      </c>
      <c r="E496" s="11" t="s">
        <v>244</v>
      </c>
      <c r="F496" s="12" t="s">
        <v>1599</v>
      </c>
    </row>
    <row r="497" spans="1:6" ht="25.5">
      <c r="A497" s="10" t="str">
        <f>HYPERLINK(SUBSTITUTE(T(hl_0),"{0}","900328323893762"),hn_0)</f>
        <v>ОВ</v>
      </c>
      <c r="B497" s="9">
        <v>7000</v>
      </c>
      <c r="C497" s="11" t="s">
        <v>271</v>
      </c>
      <c r="D497" s="15" t="s">
        <v>287</v>
      </c>
      <c r="E497" s="11" t="s">
        <v>16</v>
      </c>
      <c r="F497" s="12" t="s">
        <v>1599</v>
      </c>
    </row>
    <row r="498" spans="1:6" ht="25.5">
      <c r="A498" s="10" t="str">
        <f>HYPERLINK(SUBSTITUTE(T(hl_0),"{0}","900327919649839"),hn_0)</f>
        <v>ОВ</v>
      </c>
      <c r="B498" s="9">
        <v>5500</v>
      </c>
      <c r="C498" s="11" t="s">
        <v>271</v>
      </c>
      <c r="D498" s="15" t="s">
        <v>288</v>
      </c>
      <c r="E498" s="11" t="s">
        <v>16</v>
      </c>
      <c r="F498" s="12" t="s">
        <v>1599</v>
      </c>
    </row>
    <row r="499" spans="1:6" ht="12.75">
      <c r="A499" s="10" t="str">
        <f>HYPERLINK(SUBSTITUTE(T(hl_0),"{0}","328332248139472"),hn_0)</f>
        <v>ОВ</v>
      </c>
      <c r="B499" s="9">
        <v>5000</v>
      </c>
      <c r="C499" s="11" t="s">
        <v>289</v>
      </c>
      <c r="D499" s="15" t="s">
        <v>290</v>
      </c>
      <c r="E499" s="11" t="s">
        <v>61</v>
      </c>
      <c r="F499" s="11" t="s">
        <v>1599</v>
      </c>
    </row>
    <row r="500" spans="1:6" ht="51">
      <c r="A500" s="10" t="str">
        <f>HYPERLINK(SUBSTITUTE(T(hl_0),"{0}","326332000174591"),hn_0)</f>
        <v>ОВ</v>
      </c>
      <c r="B500" s="9">
        <v>6000</v>
      </c>
      <c r="C500" s="11" t="s">
        <v>291</v>
      </c>
      <c r="D500" s="15" t="s">
        <v>292</v>
      </c>
      <c r="E500" s="11" t="s">
        <v>70</v>
      </c>
      <c r="F500" s="12" t="s">
        <v>1599</v>
      </c>
    </row>
    <row r="501" spans="1:6" ht="38.25">
      <c r="A501" s="10" t="str">
        <f>HYPERLINK(SUBSTITUTE(T(hl_0),"{0}","319332079314564"),hn_0)</f>
        <v>ОВ</v>
      </c>
      <c r="B501" s="9">
        <v>5000</v>
      </c>
      <c r="C501" s="11" t="s">
        <v>293</v>
      </c>
      <c r="D501" s="15" t="s">
        <v>1203</v>
      </c>
      <c r="E501" s="11" t="s">
        <v>22</v>
      </c>
      <c r="F501" s="11" t="s">
        <v>1599</v>
      </c>
    </row>
    <row r="502" spans="1:6" ht="51">
      <c r="A502" s="10" t="str">
        <f>HYPERLINK(SUBSTITUTE(T(hl_0),"{0}","335332223805963"),hn_0)</f>
        <v>ОВ</v>
      </c>
      <c r="B502" s="9">
        <v>4723</v>
      </c>
      <c r="C502" s="11" t="s">
        <v>293</v>
      </c>
      <c r="D502" s="15" t="s">
        <v>294</v>
      </c>
      <c r="E502" s="11" t="s">
        <v>295</v>
      </c>
      <c r="F502" s="11" t="s">
        <v>1599</v>
      </c>
    </row>
    <row r="503" spans="1:6" ht="51">
      <c r="A503" s="10" t="str">
        <f>HYPERLINK(SUBSTITUTE(T(hl_0),"{0}","900332145785371"),hn_0)</f>
        <v>ОВ</v>
      </c>
      <c r="B503" s="9">
        <v>4723</v>
      </c>
      <c r="C503" s="11" t="s">
        <v>296</v>
      </c>
      <c r="D503" s="15" t="s">
        <v>297</v>
      </c>
      <c r="E503" s="11" t="s">
        <v>16</v>
      </c>
      <c r="F503" s="12" t="s">
        <v>1599</v>
      </c>
    </row>
    <row r="504" spans="1:6" ht="12.75">
      <c r="A504" s="10" t="str">
        <f>HYPERLINK(SUBSTITUTE(T(hl_0),"{0}","319331794574517"),hn_0)</f>
        <v>ОВ</v>
      </c>
      <c r="B504" s="9">
        <v>4800</v>
      </c>
      <c r="C504" s="11" t="s">
        <v>298</v>
      </c>
      <c r="D504" s="15" t="s">
        <v>299</v>
      </c>
      <c r="E504" s="11" t="s">
        <v>22</v>
      </c>
      <c r="F504" s="11" t="s">
        <v>1599</v>
      </c>
    </row>
    <row r="505" spans="1:6" ht="12.75">
      <c r="A505" s="10" t="str">
        <f>HYPERLINK(SUBSTITUTE(T(hl_0),"{0}","900331559511687"),hn_0)</f>
        <v>ОВ</v>
      </c>
      <c r="B505" s="9">
        <v>5800</v>
      </c>
      <c r="C505" s="11" t="s">
        <v>298</v>
      </c>
      <c r="D505" s="15" t="s">
        <v>300</v>
      </c>
      <c r="E505" s="11" t="s">
        <v>16</v>
      </c>
      <c r="F505" s="12" t="s">
        <v>1599</v>
      </c>
    </row>
    <row r="506" spans="1:6" ht="12.75">
      <c r="A506" s="10" t="str">
        <f>HYPERLINK(SUBSTITUTE(T(hl_0),"{0}","319330943783633"),hn_0)</f>
        <v>ОВ</v>
      </c>
      <c r="B506" s="9">
        <v>4723</v>
      </c>
      <c r="C506" s="11" t="s">
        <v>301</v>
      </c>
      <c r="D506" s="15" t="s">
        <v>1204</v>
      </c>
      <c r="E506" s="11" t="s">
        <v>22</v>
      </c>
      <c r="F506" s="11" t="s">
        <v>1599</v>
      </c>
    </row>
    <row r="507" spans="1:6" ht="12.75">
      <c r="A507" s="10" t="str">
        <f>HYPERLINK(SUBSTITUTE(T(hl_0),"{0}","319330943458096"),hn_0)</f>
        <v>ОВ</v>
      </c>
      <c r="B507" s="9">
        <v>5000</v>
      </c>
      <c r="C507" s="11" t="s">
        <v>301</v>
      </c>
      <c r="D507" s="15" t="s">
        <v>1204</v>
      </c>
      <c r="E507" s="11" t="s">
        <v>22</v>
      </c>
      <c r="F507" s="11" t="s">
        <v>1599</v>
      </c>
    </row>
    <row r="508" spans="1:6" ht="25.5">
      <c r="A508" s="10" t="str">
        <f>HYPERLINK(SUBSTITUTE(T(hl_0),"{0}","320332146847330"),hn_0)</f>
        <v>ОВ</v>
      </c>
      <c r="B508" s="9">
        <v>4723</v>
      </c>
      <c r="C508" s="11" t="s">
        <v>301</v>
      </c>
      <c r="D508" s="15" t="s">
        <v>1205</v>
      </c>
      <c r="E508" s="11" t="s">
        <v>23</v>
      </c>
      <c r="F508" s="12" t="s">
        <v>1599</v>
      </c>
    </row>
    <row r="509" spans="1:6" ht="38.25">
      <c r="A509" s="10" t="str">
        <f>HYPERLINK(SUBSTITUTE(T(hl_0),"{0}","323331648982760"),hn_0)</f>
        <v>ОВ</v>
      </c>
      <c r="B509" s="9">
        <v>5400</v>
      </c>
      <c r="C509" s="11" t="s">
        <v>301</v>
      </c>
      <c r="D509" s="15" t="s">
        <v>1206</v>
      </c>
      <c r="E509" s="11" t="s">
        <v>24</v>
      </c>
      <c r="F509" s="11" t="s">
        <v>1599</v>
      </c>
    </row>
    <row r="510" spans="1:6" ht="38.25">
      <c r="A510" s="10" t="str">
        <f>HYPERLINK(SUBSTITUTE(T(hl_0),"{0}","323331844247899"),hn_0)</f>
        <v>ОВ</v>
      </c>
      <c r="B510" s="9">
        <v>5500</v>
      </c>
      <c r="C510" s="11" t="s">
        <v>301</v>
      </c>
      <c r="D510" s="15" t="s">
        <v>1207</v>
      </c>
      <c r="E510" s="11" t="s">
        <v>302</v>
      </c>
      <c r="F510" s="11" t="s">
        <v>1599</v>
      </c>
    </row>
    <row r="511" spans="1:6" ht="25.5">
      <c r="A511" s="10" t="str">
        <f>HYPERLINK(SUBSTITUTE(T(hl_0),"{0}","331331479281512"),hn_0)</f>
        <v>ОВ</v>
      </c>
      <c r="B511" s="9">
        <v>4723</v>
      </c>
      <c r="C511" s="11" t="s">
        <v>301</v>
      </c>
      <c r="D511" s="15" t="s">
        <v>303</v>
      </c>
      <c r="E511" s="11" t="s">
        <v>304</v>
      </c>
      <c r="F511" s="11" t="s">
        <v>1599</v>
      </c>
    </row>
    <row r="512" spans="1:6" ht="12.75">
      <c r="A512" s="10" t="str">
        <f>HYPERLINK(SUBSTITUTE(T(hl_0),"{0}","900331674447510"),hn_0)</f>
        <v>ОВ</v>
      </c>
      <c r="B512" s="9">
        <v>5000</v>
      </c>
      <c r="C512" s="11" t="s">
        <v>301</v>
      </c>
      <c r="D512" s="15" t="s">
        <v>305</v>
      </c>
      <c r="E512" s="11" t="s">
        <v>16</v>
      </c>
      <c r="F512" s="12" t="s">
        <v>1599</v>
      </c>
    </row>
    <row r="513" spans="1:6" ht="12.75">
      <c r="A513" s="10" t="str">
        <f>HYPERLINK(SUBSTITUTE(T(hl_0),"{0}","900331559504954"),hn_0)</f>
        <v>ОВ</v>
      </c>
      <c r="B513" s="9">
        <v>5800</v>
      </c>
      <c r="C513" s="11" t="s">
        <v>301</v>
      </c>
      <c r="D513" s="15" t="s">
        <v>1208</v>
      </c>
      <c r="E513" s="11" t="s">
        <v>16</v>
      </c>
      <c r="F513" s="12" t="s">
        <v>1599</v>
      </c>
    </row>
    <row r="514" spans="1:6" ht="12.75">
      <c r="A514" s="10" t="str">
        <f>HYPERLINK(SUBSTITUTE(T(hl_0),"{0}","900331674458067"),hn_0)</f>
        <v>ОВ</v>
      </c>
      <c r="B514" s="9">
        <v>5000</v>
      </c>
      <c r="C514" s="11" t="s">
        <v>301</v>
      </c>
      <c r="D514" s="15" t="s">
        <v>306</v>
      </c>
      <c r="E514" s="11" t="s">
        <v>16</v>
      </c>
      <c r="F514" s="12" t="s">
        <v>1599</v>
      </c>
    </row>
    <row r="515" spans="1:6" ht="12.75">
      <c r="A515" s="10" t="str">
        <f>HYPERLINK(SUBSTITUTE(T(hl_0),"{0}","900331339546413"),hn_0)</f>
        <v>ОВ</v>
      </c>
      <c r="B515" s="9">
        <v>6280</v>
      </c>
      <c r="C515" s="11" t="s">
        <v>301</v>
      </c>
      <c r="D515" s="15" t="s">
        <v>307</v>
      </c>
      <c r="E515" s="11" t="s">
        <v>16</v>
      </c>
      <c r="F515" s="12" t="s">
        <v>1599</v>
      </c>
    </row>
    <row r="516" spans="1:6" ht="38.25">
      <c r="A516" s="10" t="str">
        <f>HYPERLINK(SUBSTITUTE(T(hl_0),"{0}","900330166899887"),hn_0)</f>
        <v>ОВ</v>
      </c>
      <c r="B516" s="9">
        <v>7000</v>
      </c>
      <c r="C516" s="11" t="s">
        <v>301</v>
      </c>
      <c r="D516" s="15" t="s">
        <v>308</v>
      </c>
      <c r="E516" s="11" t="s">
        <v>16</v>
      </c>
      <c r="F516" s="12" t="s">
        <v>1599</v>
      </c>
    </row>
    <row r="517" spans="1:6" ht="51">
      <c r="A517" s="10" t="str">
        <f>HYPERLINK(SUBSTITUTE(T(hl_0),"{0}","900327834337743"),hn_0)</f>
        <v>ОВ</v>
      </c>
      <c r="B517" s="9">
        <v>5500</v>
      </c>
      <c r="C517" s="11" t="s">
        <v>301</v>
      </c>
      <c r="D517" s="15" t="s">
        <v>309</v>
      </c>
      <c r="E517" s="11" t="s">
        <v>16</v>
      </c>
      <c r="F517" s="12" t="s">
        <v>1599</v>
      </c>
    </row>
    <row r="518" spans="1:6" ht="12.75">
      <c r="A518" s="10" t="str">
        <f>HYPERLINK(SUBSTITUTE(T(hl_0),"{0}","900332143968097"),hn_0)</f>
        <v>ОВ</v>
      </c>
      <c r="B518" s="9">
        <v>4723</v>
      </c>
      <c r="C518" s="11" t="s">
        <v>310</v>
      </c>
      <c r="D518" s="15" t="s">
        <v>311</v>
      </c>
      <c r="E518" s="11" t="s">
        <v>16</v>
      </c>
      <c r="F518" s="12" t="s">
        <v>1599</v>
      </c>
    </row>
    <row r="519" spans="1:6" ht="12.75">
      <c r="A519" s="10" t="str">
        <f>HYPERLINK(SUBSTITUTE(T(hl_0),"{0}","900331994607197"),hn_0)</f>
        <v>ОВ</v>
      </c>
      <c r="B519" s="9">
        <v>4750</v>
      </c>
      <c r="C519" s="11" t="s">
        <v>310</v>
      </c>
      <c r="D519" s="15" t="s">
        <v>312</v>
      </c>
      <c r="E519" s="11" t="s">
        <v>16</v>
      </c>
      <c r="F519" s="12" t="s">
        <v>1599</v>
      </c>
    </row>
    <row r="520" spans="1:6" ht="25.5">
      <c r="A520" s="10" t="str">
        <f>HYPERLINK(SUBSTITUTE(T(hl_0),"{0}","320330364406600"),hn_0)</f>
        <v>ОВ</v>
      </c>
      <c r="B520" s="9">
        <v>4850</v>
      </c>
      <c r="C520" s="11" t="s">
        <v>313</v>
      </c>
      <c r="D520" s="15" t="s">
        <v>1209</v>
      </c>
      <c r="E520" s="11" t="s">
        <v>314</v>
      </c>
      <c r="F520" s="12" t="s">
        <v>1599</v>
      </c>
    </row>
    <row r="521" spans="1:6" ht="25.5">
      <c r="A521" s="10" t="str">
        <f>HYPERLINK(SUBSTITUTE(T(hl_0),"{0}","320329965131820"),hn_0)</f>
        <v>ОВ</v>
      </c>
      <c r="B521" s="9">
        <v>5100</v>
      </c>
      <c r="C521" s="11" t="s">
        <v>313</v>
      </c>
      <c r="D521" s="15" t="s">
        <v>1210</v>
      </c>
      <c r="E521" s="11" t="s">
        <v>315</v>
      </c>
      <c r="F521" s="12" t="s">
        <v>1599</v>
      </c>
    </row>
    <row r="522" spans="1:6" ht="25.5">
      <c r="A522" s="10" t="str">
        <f>HYPERLINK(SUBSTITUTE(T(hl_0),"{0}","330331999921034"),hn_0)</f>
        <v>ОВ</v>
      </c>
      <c r="B522" s="9">
        <v>6500</v>
      </c>
      <c r="C522" s="11" t="s">
        <v>313</v>
      </c>
      <c r="D522" s="15" t="s">
        <v>1211</v>
      </c>
      <c r="E522" s="11" t="s">
        <v>45</v>
      </c>
      <c r="F522" s="11" t="s">
        <v>1599</v>
      </c>
    </row>
    <row r="523" spans="1:6" ht="51">
      <c r="A523" s="10" t="str">
        <f>HYPERLINK(SUBSTITUTE(T(hl_0),"{0}","900331560753958"),hn_0)</f>
        <v>ОВ</v>
      </c>
      <c r="B523" s="9">
        <v>4723</v>
      </c>
      <c r="C523" s="11" t="s">
        <v>313</v>
      </c>
      <c r="D523" s="15" t="s">
        <v>316</v>
      </c>
      <c r="E523" s="11" t="s">
        <v>16</v>
      </c>
      <c r="F523" s="12" t="s">
        <v>1599</v>
      </c>
    </row>
    <row r="524" spans="1:6" ht="12.75">
      <c r="A524" s="10" t="str">
        <f>HYPERLINK(SUBSTITUTE(T(hl_0),"{0}","900332173349677"),hn_0)</f>
        <v>ОВ</v>
      </c>
      <c r="B524" s="9">
        <v>4800</v>
      </c>
      <c r="C524" s="11" t="s">
        <v>313</v>
      </c>
      <c r="D524" s="15" t="s">
        <v>317</v>
      </c>
      <c r="E524" s="11" t="s">
        <v>16</v>
      </c>
      <c r="F524" s="12" t="s">
        <v>1599</v>
      </c>
    </row>
    <row r="525" spans="1:6" ht="38.25">
      <c r="A525" s="10" t="str">
        <f>HYPERLINK(SUBSTITUTE(T(hl_0),"{0}","900328425424442"),hn_0)</f>
        <v>ОВ</v>
      </c>
      <c r="B525" s="9">
        <v>7000</v>
      </c>
      <c r="C525" s="11" t="s">
        <v>318</v>
      </c>
      <c r="D525" s="15" t="s">
        <v>319</v>
      </c>
      <c r="E525" s="11" t="s">
        <v>16</v>
      </c>
      <c r="F525" s="12" t="s">
        <v>1599</v>
      </c>
    </row>
    <row r="526" spans="1:6" ht="38.25">
      <c r="A526" s="10" t="str">
        <f>HYPERLINK(SUBSTITUTE(T(hl_0),"{0}","900328425424472"),hn_0)</f>
        <v>ОВ</v>
      </c>
      <c r="B526" s="9">
        <v>7000</v>
      </c>
      <c r="C526" s="11" t="s">
        <v>318</v>
      </c>
      <c r="D526" s="15" t="s">
        <v>319</v>
      </c>
      <c r="E526" s="11" t="s">
        <v>16</v>
      </c>
      <c r="F526" s="12" t="s">
        <v>1599</v>
      </c>
    </row>
    <row r="527" spans="1:6" ht="38.25">
      <c r="A527" s="10" t="str">
        <f>HYPERLINK(SUBSTITUTE(T(hl_0),"{0}","900328425424509"),hn_0)</f>
        <v>ОВ</v>
      </c>
      <c r="B527" s="9">
        <v>7000</v>
      </c>
      <c r="C527" s="11" t="s">
        <v>318</v>
      </c>
      <c r="D527" s="15" t="s">
        <v>319</v>
      </c>
      <c r="E527" s="11" t="s">
        <v>16</v>
      </c>
      <c r="F527" s="12" t="s">
        <v>1599</v>
      </c>
    </row>
    <row r="528" spans="1:6" ht="38.25">
      <c r="A528" s="10" t="str">
        <f>HYPERLINK(SUBSTITUTE(T(hl_0),"{0}","900328425424531"),hn_0)</f>
        <v>ОВ</v>
      </c>
      <c r="B528" s="9">
        <v>7000</v>
      </c>
      <c r="C528" s="11" t="s">
        <v>318</v>
      </c>
      <c r="D528" s="15" t="s">
        <v>319</v>
      </c>
      <c r="E528" s="11" t="s">
        <v>16</v>
      </c>
      <c r="F528" s="12" t="s">
        <v>1599</v>
      </c>
    </row>
    <row r="529" spans="1:6" ht="38.25">
      <c r="A529" s="10" t="str">
        <f>HYPERLINK(SUBSTITUTE(T(hl_0),"{0}","900328425424920"),hn_0)</f>
        <v>ОВ</v>
      </c>
      <c r="B529" s="9">
        <v>7000</v>
      </c>
      <c r="C529" s="11" t="s">
        <v>318</v>
      </c>
      <c r="D529" s="15" t="s">
        <v>319</v>
      </c>
      <c r="E529" s="11" t="s">
        <v>16</v>
      </c>
      <c r="F529" s="12" t="s">
        <v>1599</v>
      </c>
    </row>
    <row r="530" spans="1:6" ht="38.25">
      <c r="A530" s="10" t="str">
        <f>HYPERLINK(SUBSTITUTE(T(hl_0),"{0}","900328425424933"),hn_0)</f>
        <v>ОВ</v>
      </c>
      <c r="B530" s="9">
        <v>7000</v>
      </c>
      <c r="C530" s="11" t="s">
        <v>318</v>
      </c>
      <c r="D530" s="15" t="s">
        <v>319</v>
      </c>
      <c r="E530" s="11" t="s">
        <v>16</v>
      </c>
      <c r="F530" s="12" t="s">
        <v>1599</v>
      </c>
    </row>
    <row r="531" spans="1:6" ht="38.25">
      <c r="A531" s="10" t="str">
        <f>HYPERLINK(SUBSTITUTE(T(hl_0),"{0}","900328425424379"),hn_0)</f>
        <v>ОВ</v>
      </c>
      <c r="B531" s="9">
        <v>7000</v>
      </c>
      <c r="C531" s="11" t="s">
        <v>318</v>
      </c>
      <c r="D531" s="15" t="s">
        <v>319</v>
      </c>
      <c r="E531" s="11" t="s">
        <v>16</v>
      </c>
      <c r="F531" s="12" t="s">
        <v>1599</v>
      </c>
    </row>
    <row r="532" spans="1:6" ht="38.25">
      <c r="A532" s="10" t="str">
        <f>HYPERLINK(SUBSTITUTE(T(hl_0),"{0}","900328425424455"),hn_0)</f>
        <v>ОВ</v>
      </c>
      <c r="B532" s="9">
        <v>7000</v>
      </c>
      <c r="C532" s="11" t="s">
        <v>318</v>
      </c>
      <c r="D532" s="15" t="s">
        <v>319</v>
      </c>
      <c r="E532" s="11" t="s">
        <v>16</v>
      </c>
      <c r="F532" s="12" t="s">
        <v>1599</v>
      </c>
    </row>
    <row r="533" spans="1:6" ht="38.25">
      <c r="A533" s="10" t="str">
        <f>HYPERLINK(SUBSTITUTE(T(hl_0),"{0}","900328425424498"),hn_0)</f>
        <v>ОВ</v>
      </c>
      <c r="B533" s="9">
        <v>7000</v>
      </c>
      <c r="C533" s="11" t="s">
        <v>318</v>
      </c>
      <c r="D533" s="15" t="s">
        <v>319</v>
      </c>
      <c r="E533" s="11" t="s">
        <v>16</v>
      </c>
      <c r="F533" s="12" t="s">
        <v>1599</v>
      </c>
    </row>
    <row r="534" spans="1:6" ht="38.25">
      <c r="A534" s="10" t="str">
        <f>HYPERLINK(SUBSTITUTE(T(hl_0),"{0}","900328425424553"),hn_0)</f>
        <v>ОВ</v>
      </c>
      <c r="B534" s="9">
        <v>7000</v>
      </c>
      <c r="C534" s="11" t="s">
        <v>318</v>
      </c>
      <c r="D534" s="15" t="s">
        <v>319</v>
      </c>
      <c r="E534" s="11" t="s">
        <v>16</v>
      </c>
      <c r="F534" s="12" t="s">
        <v>1599</v>
      </c>
    </row>
    <row r="535" spans="1:6" ht="38.25">
      <c r="A535" s="10" t="str">
        <f>HYPERLINK(SUBSTITUTE(T(hl_0),"{0}","900328425424486"),hn_0)</f>
        <v>ОВ</v>
      </c>
      <c r="B535" s="9">
        <v>7000</v>
      </c>
      <c r="C535" s="11" t="s">
        <v>318</v>
      </c>
      <c r="D535" s="15" t="s">
        <v>319</v>
      </c>
      <c r="E535" s="11" t="s">
        <v>16</v>
      </c>
      <c r="F535" s="12" t="s">
        <v>1599</v>
      </c>
    </row>
    <row r="536" spans="1:6" ht="38.25">
      <c r="A536" s="10" t="str">
        <f>HYPERLINK(SUBSTITUTE(T(hl_0),"{0}","900328425424882"),hn_0)</f>
        <v>ОВ</v>
      </c>
      <c r="B536" s="9">
        <v>7000</v>
      </c>
      <c r="C536" s="11" t="s">
        <v>318</v>
      </c>
      <c r="D536" s="15" t="s">
        <v>319</v>
      </c>
      <c r="E536" s="11" t="s">
        <v>16</v>
      </c>
      <c r="F536" s="12" t="s">
        <v>1599</v>
      </c>
    </row>
    <row r="537" spans="1:6" ht="38.25">
      <c r="A537" s="10" t="str">
        <f>HYPERLINK(SUBSTITUTE(T(hl_0),"{0}","900328425424893"),hn_0)</f>
        <v>ОВ</v>
      </c>
      <c r="B537" s="9">
        <v>7000</v>
      </c>
      <c r="C537" s="11" t="s">
        <v>318</v>
      </c>
      <c r="D537" s="15" t="s">
        <v>319</v>
      </c>
      <c r="E537" s="11" t="s">
        <v>16</v>
      </c>
      <c r="F537" s="12" t="s">
        <v>1599</v>
      </c>
    </row>
    <row r="538" spans="1:6" ht="38.25">
      <c r="A538" s="10" t="str">
        <f>HYPERLINK(SUBSTITUTE(T(hl_0),"{0}","900328425424520"),hn_0)</f>
        <v>ОВ</v>
      </c>
      <c r="B538" s="9">
        <v>7000</v>
      </c>
      <c r="C538" s="11" t="s">
        <v>318</v>
      </c>
      <c r="D538" s="15" t="s">
        <v>319</v>
      </c>
      <c r="E538" s="11" t="s">
        <v>16</v>
      </c>
      <c r="F538" s="12" t="s">
        <v>1599</v>
      </c>
    </row>
    <row r="539" spans="1:6" ht="38.25">
      <c r="A539" s="10" t="str">
        <f>HYPERLINK(SUBSTITUTE(T(hl_0),"{0}","900328425424586"),hn_0)</f>
        <v>ОВ</v>
      </c>
      <c r="B539" s="9">
        <v>7000</v>
      </c>
      <c r="C539" s="11" t="s">
        <v>318</v>
      </c>
      <c r="D539" s="15" t="s">
        <v>319</v>
      </c>
      <c r="E539" s="11" t="s">
        <v>16</v>
      </c>
      <c r="F539" s="12" t="s">
        <v>1599</v>
      </c>
    </row>
    <row r="540" spans="1:6" ht="38.25">
      <c r="A540" s="10" t="str">
        <f>HYPERLINK(SUBSTITUTE(T(hl_0),"{0}","900328425424597"),hn_0)</f>
        <v>ОВ</v>
      </c>
      <c r="B540" s="9">
        <v>7000</v>
      </c>
      <c r="C540" s="11" t="s">
        <v>318</v>
      </c>
      <c r="D540" s="15" t="s">
        <v>319</v>
      </c>
      <c r="E540" s="11" t="s">
        <v>16</v>
      </c>
      <c r="F540" s="12" t="s">
        <v>1599</v>
      </c>
    </row>
    <row r="541" spans="1:6" ht="38.25">
      <c r="A541" s="10" t="str">
        <f>HYPERLINK(SUBSTITUTE(T(hl_0),"{0}","900328425424429"),hn_0)</f>
        <v>ОВ</v>
      </c>
      <c r="B541" s="9">
        <v>7000</v>
      </c>
      <c r="C541" s="11" t="s">
        <v>318</v>
      </c>
      <c r="D541" s="15" t="s">
        <v>319</v>
      </c>
      <c r="E541" s="11" t="s">
        <v>16</v>
      </c>
      <c r="F541" s="12" t="s">
        <v>1599</v>
      </c>
    </row>
    <row r="542" spans="1:6" ht="38.25">
      <c r="A542" s="10" t="str">
        <f>HYPERLINK(SUBSTITUTE(T(hl_0),"{0}","900328425424564"),hn_0)</f>
        <v>ОВ</v>
      </c>
      <c r="B542" s="9">
        <v>7000</v>
      </c>
      <c r="C542" s="11" t="s">
        <v>318</v>
      </c>
      <c r="D542" s="15" t="s">
        <v>319</v>
      </c>
      <c r="E542" s="11" t="s">
        <v>16</v>
      </c>
      <c r="F542" s="12" t="s">
        <v>1599</v>
      </c>
    </row>
    <row r="543" spans="1:6" ht="38.25">
      <c r="A543" s="10" t="str">
        <f>HYPERLINK(SUBSTITUTE(T(hl_0),"{0}","900328425424621"),hn_0)</f>
        <v>ОВ</v>
      </c>
      <c r="B543" s="9">
        <v>7000</v>
      </c>
      <c r="C543" s="11" t="s">
        <v>318</v>
      </c>
      <c r="D543" s="15" t="s">
        <v>319</v>
      </c>
      <c r="E543" s="11" t="s">
        <v>16</v>
      </c>
      <c r="F543" s="12" t="s">
        <v>1599</v>
      </c>
    </row>
    <row r="544" spans="1:6" ht="38.25">
      <c r="A544" s="10" t="str">
        <f>HYPERLINK(SUBSTITUTE(T(hl_0),"{0}","900328425424695"),hn_0)</f>
        <v>ОВ</v>
      </c>
      <c r="B544" s="9">
        <v>7000</v>
      </c>
      <c r="C544" s="11" t="s">
        <v>318</v>
      </c>
      <c r="D544" s="15" t="s">
        <v>319</v>
      </c>
      <c r="E544" s="11" t="s">
        <v>16</v>
      </c>
      <c r="F544" s="12" t="s">
        <v>1599</v>
      </c>
    </row>
    <row r="545" spans="1:6" ht="38.25">
      <c r="A545" s="10" t="str">
        <f>HYPERLINK(SUBSTITUTE(T(hl_0),"{0}","900328425424824"),hn_0)</f>
        <v>ОВ</v>
      </c>
      <c r="B545" s="9">
        <v>7000</v>
      </c>
      <c r="C545" s="11" t="s">
        <v>318</v>
      </c>
      <c r="D545" s="15" t="s">
        <v>319</v>
      </c>
      <c r="E545" s="11" t="s">
        <v>16</v>
      </c>
      <c r="F545" s="12" t="s">
        <v>1599</v>
      </c>
    </row>
    <row r="546" spans="1:6" ht="38.25">
      <c r="A546" s="10" t="str">
        <f>HYPERLINK(SUBSTITUTE(T(hl_0),"{0}","900328425419787"),hn_0)</f>
        <v>ОВ</v>
      </c>
      <c r="B546" s="9">
        <v>7000</v>
      </c>
      <c r="C546" s="11" t="s">
        <v>318</v>
      </c>
      <c r="D546" s="15" t="s">
        <v>319</v>
      </c>
      <c r="E546" s="11" t="s">
        <v>16</v>
      </c>
      <c r="F546" s="12" t="s">
        <v>1599</v>
      </c>
    </row>
    <row r="547" spans="1:6" ht="38.25">
      <c r="A547" s="10" t="str">
        <f>HYPERLINK(SUBSTITUTE(T(hl_0),"{0}","900328425424417"),hn_0)</f>
        <v>ОВ</v>
      </c>
      <c r="B547" s="9">
        <v>7000</v>
      </c>
      <c r="C547" s="11" t="s">
        <v>318</v>
      </c>
      <c r="D547" s="15" t="s">
        <v>319</v>
      </c>
      <c r="E547" s="11" t="s">
        <v>16</v>
      </c>
      <c r="F547" s="12" t="s">
        <v>1599</v>
      </c>
    </row>
    <row r="548" spans="1:6" ht="38.25">
      <c r="A548" s="10" t="str">
        <f>HYPERLINK(SUBSTITUTE(T(hl_0),"{0}","900328425424638"),hn_0)</f>
        <v>ОВ</v>
      </c>
      <c r="B548" s="9">
        <v>7000</v>
      </c>
      <c r="C548" s="11" t="s">
        <v>318</v>
      </c>
      <c r="D548" s="15" t="s">
        <v>319</v>
      </c>
      <c r="E548" s="11" t="s">
        <v>16</v>
      </c>
      <c r="F548" s="12" t="s">
        <v>1599</v>
      </c>
    </row>
    <row r="549" spans="1:6" ht="38.25">
      <c r="A549" s="10" t="str">
        <f>HYPERLINK(SUBSTITUTE(T(hl_0),"{0}","900328425424770"),hn_0)</f>
        <v>ОВ</v>
      </c>
      <c r="B549" s="9">
        <v>7000</v>
      </c>
      <c r="C549" s="11" t="s">
        <v>318</v>
      </c>
      <c r="D549" s="15" t="s">
        <v>319</v>
      </c>
      <c r="E549" s="11" t="s">
        <v>16</v>
      </c>
      <c r="F549" s="12" t="s">
        <v>1599</v>
      </c>
    </row>
    <row r="550" spans="1:6" ht="38.25">
      <c r="A550" s="10" t="str">
        <f>HYPERLINK(SUBSTITUTE(T(hl_0),"{0}","900328425424871"),hn_0)</f>
        <v>ОВ</v>
      </c>
      <c r="B550" s="9">
        <v>7000</v>
      </c>
      <c r="C550" s="11" t="s">
        <v>318</v>
      </c>
      <c r="D550" s="15" t="s">
        <v>319</v>
      </c>
      <c r="E550" s="11" t="s">
        <v>16</v>
      </c>
      <c r="F550" s="12" t="s">
        <v>1599</v>
      </c>
    </row>
    <row r="551" spans="1:6" ht="38.25">
      <c r="A551" s="10" t="str">
        <f>HYPERLINK(SUBSTITUTE(T(hl_0),"{0}","900328425424904"),hn_0)</f>
        <v>ОВ</v>
      </c>
      <c r="B551" s="9">
        <v>7000</v>
      </c>
      <c r="C551" s="11" t="s">
        <v>318</v>
      </c>
      <c r="D551" s="15" t="s">
        <v>319</v>
      </c>
      <c r="E551" s="11" t="s">
        <v>16</v>
      </c>
      <c r="F551" s="12" t="s">
        <v>1599</v>
      </c>
    </row>
    <row r="552" spans="1:6" ht="38.25">
      <c r="A552" s="10" t="str">
        <f>HYPERLINK(SUBSTITUTE(T(hl_0),"{0}","900328425424944"),hn_0)</f>
        <v>ОВ</v>
      </c>
      <c r="B552" s="9">
        <v>7000</v>
      </c>
      <c r="C552" s="11" t="s">
        <v>318</v>
      </c>
      <c r="D552" s="15" t="s">
        <v>319</v>
      </c>
      <c r="E552" s="11" t="s">
        <v>16</v>
      </c>
      <c r="F552" s="12" t="s">
        <v>1599</v>
      </c>
    </row>
    <row r="553" spans="1:6" ht="38.25">
      <c r="A553" s="10" t="str">
        <f>HYPERLINK(SUBSTITUTE(T(hl_0),"{0}","900328425246051"),hn_0)</f>
        <v>ОВ</v>
      </c>
      <c r="B553" s="9">
        <v>7000</v>
      </c>
      <c r="C553" s="11" t="s">
        <v>318</v>
      </c>
      <c r="D553" s="15" t="s">
        <v>319</v>
      </c>
      <c r="E553" s="11" t="s">
        <v>16</v>
      </c>
      <c r="F553" s="12" t="s">
        <v>1599</v>
      </c>
    </row>
    <row r="554" spans="1:6" ht="38.25">
      <c r="A554" s="10" t="str">
        <f>HYPERLINK(SUBSTITUTE(T(hl_0),"{0}","900331903811165"),hn_0)</f>
        <v>ОВ</v>
      </c>
      <c r="B554" s="9">
        <v>6000</v>
      </c>
      <c r="C554" s="11" t="s">
        <v>320</v>
      </c>
      <c r="D554" s="15" t="s">
        <v>321</v>
      </c>
      <c r="E554" s="11" t="s">
        <v>37</v>
      </c>
      <c r="F554" s="12" t="s">
        <v>1599</v>
      </c>
    </row>
    <row r="555" spans="1:6" ht="51">
      <c r="A555" s="10" t="str">
        <f>HYPERLINK(SUBSTITUTE(T(hl_0),"{0}","320327071536991"),hn_0)</f>
        <v>ОВ</v>
      </c>
      <c r="B555" s="9">
        <v>8753</v>
      </c>
      <c r="C555" s="11" t="s">
        <v>322</v>
      </c>
      <c r="D555" s="15" t="s">
        <v>1212</v>
      </c>
      <c r="E555" s="11" t="s">
        <v>23</v>
      </c>
      <c r="F555" s="12" t="s">
        <v>1599</v>
      </c>
    </row>
    <row r="556" spans="1:6" ht="51">
      <c r="A556" s="10" t="str">
        <f>HYPERLINK(SUBSTITUTE(T(hl_0),"{0}","320329994777918"),hn_0)</f>
        <v>ОВ</v>
      </c>
      <c r="B556" s="9">
        <v>8753</v>
      </c>
      <c r="C556" s="11" t="s">
        <v>322</v>
      </c>
      <c r="D556" s="15" t="s">
        <v>1213</v>
      </c>
      <c r="E556" s="11" t="s">
        <v>23</v>
      </c>
      <c r="F556" s="12" t="s">
        <v>1599</v>
      </c>
    </row>
    <row r="557" spans="1:6" ht="51">
      <c r="A557" s="10" t="str">
        <f>HYPERLINK(SUBSTITUTE(T(hl_0),"{0}","320329994773494"),hn_0)</f>
        <v>ОВ</v>
      </c>
      <c r="B557" s="9">
        <v>8753</v>
      </c>
      <c r="C557" s="11" t="s">
        <v>322</v>
      </c>
      <c r="D557" s="15" t="s">
        <v>1213</v>
      </c>
      <c r="E557" s="11" t="s">
        <v>23</v>
      </c>
      <c r="F557" s="12" t="s">
        <v>1599</v>
      </c>
    </row>
    <row r="558" spans="1:6" ht="12.75">
      <c r="A558" s="10" t="str">
        <f>HYPERLINK(SUBSTITUTE(T(hl_0),"{0}","900327360239904"),hn_0)</f>
        <v>ОВ</v>
      </c>
      <c r="B558" s="9">
        <v>6000</v>
      </c>
      <c r="C558" s="11" t="s">
        <v>322</v>
      </c>
      <c r="D558" s="15" t="s">
        <v>323</v>
      </c>
      <c r="E558" s="11" t="s">
        <v>16</v>
      </c>
      <c r="F558" s="12" t="s">
        <v>1599</v>
      </c>
    </row>
    <row r="559" spans="1:6" ht="12.75">
      <c r="A559" s="10" t="str">
        <f>HYPERLINK(SUBSTITUTE(T(hl_0),"{0}","900327360239912"),hn_0)</f>
        <v>ОВ</v>
      </c>
      <c r="B559" s="9">
        <v>6000</v>
      </c>
      <c r="C559" s="11" t="s">
        <v>322</v>
      </c>
      <c r="D559" s="15" t="s">
        <v>323</v>
      </c>
      <c r="E559" s="11" t="s">
        <v>16</v>
      </c>
      <c r="F559" s="12" t="s">
        <v>1599</v>
      </c>
    </row>
    <row r="560" spans="1:6" ht="12.75">
      <c r="A560" s="10" t="str">
        <f>HYPERLINK(SUBSTITUTE(T(hl_0),"{0}","900327360239924"),hn_0)</f>
        <v>ОВ</v>
      </c>
      <c r="B560" s="9">
        <v>6000</v>
      </c>
      <c r="C560" s="11" t="s">
        <v>322</v>
      </c>
      <c r="D560" s="15" t="s">
        <v>323</v>
      </c>
      <c r="E560" s="11" t="s">
        <v>16</v>
      </c>
      <c r="F560" s="12" t="s">
        <v>1599</v>
      </c>
    </row>
    <row r="561" spans="1:6" ht="12.75">
      <c r="A561" s="10" t="str">
        <f>HYPERLINK(SUBSTITUTE(T(hl_0),"{0}","900332146181265"),hn_0)</f>
        <v>ОВ</v>
      </c>
      <c r="B561" s="9">
        <v>6343</v>
      </c>
      <c r="C561" s="11" t="s">
        <v>324</v>
      </c>
      <c r="D561" s="15" t="s">
        <v>325</v>
      </c>
      <c r="E561" s="11" t="s">
        <v>20</v>
      </c>
      <c r="F561" s="12" t="s">
        <v>1599</v>
      </c>
    </row>
    <row r="562" spans="1:6" ht="12.75">
      <c r="A562" s="10" t="str">
        <f>HYPERLINK(SUBSTITUTE(T(hl_0),"{0}","900332146207578"),hn_0)</f>
        <v>ОВ</v>
      </c>
      <c r="B562" s="9">
        <v>6343</v>
      </c>
      <c r="C562" s="11" t="s">
        <v>324</v>
      </c>
      <c r="D562" s="15" t="s">
        <v>325</v>
      </c>
      <c r="E562" s="11" t="s">
        <v>258</v>
      </c>
      <c r="F562" s="12" t="s">
        <v>1599</v>
      </c>
    </row>
    <row r="563" spans="1:6" ht="25.5">
      <c r="A563" s="10" t="str">
        <f>HYPERLINK(SUBSTITUTE(T(hl_0),"{0}","320332197887932"),hn_0)</f>
        <v>ОВ</v>
      </c>
      <c r="B563" s="9">
        <v>11164.26</v>
      </c>
      <c r="C563" s="11" t="s">
        <v>326</v>
      </c>
      <c r="D563" s="15" t="s">
        <v>1214</v>
      </c>
      <c r="E563" s="11" t="s">
        <v>23</v>
      </c>
      <c r="F563" s="12" t="s">
        <v>1599</v>
      </c>
    </row>
    <row r="564" spans="1:6" ht="38.25">
      <c r="A564" s="10" t="str">
        <f>HYPERLINK(SUBSTITUTE(T(hl_0),"{0}","900332146441677"),hn_0)</f>
        <v>ОВ</v>
      </c>
      <c r="B564" s="9">
        <v>8099.52</v>
      </c>
      <c r="C564" s="11" t="s">
        <v>326</v>
      </c>
      <c r="D564" s="15" t="s">
        <v>327</v>
      </c>
      <c r="E564" s="11" t="s">
        <v>22</v>
      </c>
      <c r="F564" s="12" t="s">
        <v>1599</v>
      </c>
    </row>
    <row r="565" spans="1:6" ht="25.5">
      <c r="A565" s="10" t="str">
        <f>HYPERLINK(SUBSTITUTE(T(hl_0),"{0}","900332145920639"),hn_0)</f>
        <v>ОВ</v>
      </c>
      <c r="B565" s="9">
        <v>6942.6</v>
      </c>
      <c r="C565" s="11" t="s">
        <v>328</v>
      </c>
      <c r="D565" s="15" t="s">
        <v>329</v>
      </c>
      <c r="E565" s="11" t="s">
        <v>20</v>
      </c>
      <c r="F565" s="12" t="s">
        <v>1599</v>
      </c>
    </row>
    <row r="566" spans="1:6" ht="25.5">
      <c r="A566" s="10" t="str">
        <f>HYPERLINK(SUBSTITUTE(T(hl_0),"{0}","900332145899381"),hn_0)</f>
        <v>ОВ</v>
      </c>
      <c r="B566" s="9">
        <v>6942.6</v>
      </c>
      <c r="C566" s="11" t="s">
        <v>328</v>
      </c>
      <c r="D566" s="15" t="s">
        <v>329</v>
      </c>
      <c r="E566" s="11" t="s">
        <v>23</v>
      </c>
      <c r="F566" s="12" t="s">
        <v>1599</v>
      </c>
    </row>
    <row r="567" spans="1:6" ht="25.5">
      <c r="A567" s="10" t="str">
        <f>HYPERLINK(SUBSTITUTE(T(hl_0),"{0}","900332145955589"),hn_0)</f>
        <v>ОВ</v>
      </c>
      <c r="B567" s="9">
        <v>6942.6</v>
      </c>
      <c r="C567" s="11" t="s">
        <v>328</v>
      </c>
      <c r="D567" s="15" t="s">
        <v>329</v>
      </c>
      <c r="E567" s="11" t="s">
        <v>22</v>
      </c>
      <c r="F567" s="12" t="s">
        <v>1599</v>
      </c>
    </row>
    <row r="568" spans="1:6" ht="25.5">
      <c r="A568" s="10" t="str">
        <f>HYPERLINK(SUBSTITUTE(T(hl_0),"{0}","900332145947376"),hn_0)</f>
        <v>ОВ</v>
      </c>
      <c r="B568" s="9">
        <v>6942.6</v>
      </c>
      <c r="C568" s="11" t="s">
        <v>328</v>
      </c>
      <c r="D568" s="15" t="s">
        <v>329</v>
      </c>
      <c r="E568" s="11" t="s">
        <v>22</v>
      </c>
      <c r="F568" s="12" t="s">
        <v>1599</v>
      </c>
    </row>
    <row r="569" spans="1:6" ht="25.5">
      <c r="A569" s="10" t="str">
        <f>HYPERLINK(SUBSTITUTE(T(hl_0),"{0}","900332145933914"),hn_0)</f>
        <v>ОВ</v>
      </c>
      <c r="B569" s="9">
        <v>6942.6</v>
      </c>
      <c r="C569" s="11" t="s">
        <v>328</v>
      </c>
      <c r="D569" s="15" t="s">
        <v>329</v>
      </c>
      <c r="E569" s="11" t="s">
        <v>44</v>
      </c>
      <c r="F569" s="12" t="s">
        <v>1599</v>
      </c>
    </row>
    <row r="570" spans="1:6" ht="25.5">
      <c r="A570" s="10" t="str">
        <f>HYPERLINK(SUBSTITUTE(T(hl_0),"{0}","900332145916456"),hn_0)</f>
        <v>ОВ</v>
      </c>
      <c r="B570" s="9">
        <v>6942.6</v>
      </c>
      <c r="C570" s="11" t="s">
        <v>328</v>
      </c>
      <c r="D570" s="15" t="s">
        <v>329</v>
      </c>
      <c r="E570" s="11" t="s">
        <v>20</v>
      </c>
      <c r="F570" s="12" t="s">
        <v>1599</v>
      </c>
    </row>
    <row r="571" spans="1:6" ht="25.5">
      <c r="A571" s="10" t="str">
        <f>HYPERLINK(SUBSTITUTE(T(hl_0),"{0}","900332145927428"),hn_0)</f>
        <v>ОВ</v>
      </c>
      <c r="B571" s="9">
        <v>6942.6</v>
      </c>
      <c r="C571" s="11" t="s">
        <v>328</v>
      </c>
      <c r="D571" s="15" t="s">
        <v>329</v>
      </c>
      <c r="E571" s="11" t="s">
        <v>16</v>
      </c>
      <c r="F571" s="12" t="s">
        <v>1599</v>
      </c>
    </row>
    <row r="572" spans="1:6" ht="25.5">
      <c r="A572" s="10" t="str">
        <f>HYPERLINK(SUBSTITUTE(T(hl_0),"{0}","900332054007460"),hn_0)</f>
        <v>ОВ</v>
      </c>
      <c r="B572" s="9">
        <v>6941.46</v>
      </c>
      <c r="C572" s="11" t="s">
        <v>330</v>
      </c>
      <c r="D572" s="15" t="s">
        <v>331</v>
      </c>
      <c r="E572" s="11" t="s">
        <v>20</v>
      </c>
      <c r="F572" s="12" t="s">
        <v>1599</v>
      </c>
    </row>
    <row r="573" spans="1:6" ht="25.5">
      <c r="A573" s="10" t="str">
        <f>HYPERLINK(SUBSTITUTE(T(hl_0),"{0}","900332054013109"),hn_0)</f>
        <v>ОВ</v>
      </c>
      <c r="B573" s="9">
        <v>6941.46</v>
      </c>
      <c r="C573" s="11" t="s">
        <v>330</v>
      </c>
      <c r="D573" s="15" t="s">
        <v>331</v>
      </c>
      <c r="E573" s="11" t="s">
        <v>20</v>
      </c>
      <c r="F573" s="12" t="s">
        <v>1599</v>
      </c>
    </row>
    <row r="574" spans="1:6" ht="25.5">
      <c r="A574" s="10" t="str">
        <f>HYPERLINK(SUBSTITUTE(T(hl_0),"{0}","900332053951062"),hn_0)</f>
        <v>ОВ</v>
      </c>
      <c r="B574" s="9">
        <v>6941.46</v>
      </c>
      <c r="C574" s="11" t="s">
        <v>330</v>
      </c>
      <c r="D574" s="15" t="s">
        <v>331</v>
      </c>
      <c r="E574" s="11" t="s">
        <v>16</v>
      </c>
      <c r="F574" s="12" t="s">
        <v>1599</v>
      </c>
    </row>
    <row r="575" spans="1:6" ht="25.5">
      <c r="A575" s="10" t="str">
        <f>HYPERLINK(SUBSTITUTE(T(hl_0),"{0}","900332054000385"),hn_0)</f>
        <v>ОВ</v>
      </c>
      <c r="B575" s="9">
        <v>6941.46</v>
      </c>
      <c r="C575" s="11" t="s">
        <v>330</v>
      </c>
      <c r="D575" s="15" t="s">
        <v>331</v>
      </c>
      <c r="E575" s="11" t="s">
        <v>36</v>
      </c>
      <c r="F575" s="12" t="s">
        <v>1599</v>
      </c>
    </row>
    <row r="576" spans="1:6" ht="25.5">
      <c r="A576" s="10" t="str">
        <f>HYPERLINK(SUBSTITUTE(T(hl_0),"{0}","900332145654057"),hn_0)</f>
        <v>ОВ</v>
      </c>
      <c r="B576" s="9">
        <v>6941.46</v>
      </c>
      <c r="C576" s="11" t="s">
        <v>330</v>
      </c>
      <c r="D576" s="15" t="s">
        <v>331</v>
      </c>
      <c r="E576" s="11" t="s">
        <v>45</v>
      </c>
      <c r="F576" s="12" t="s">
        <v>1599</v>
      </c>
    </row>
    <row r="577" spans="1:6" ht="25.5">
      <c r="A577" s="10" t="str">
        <f>HYPERLINK(SUBSTITUTE(T(hl_0),"{0}","900332145670093"),hn_0)</f>
        <v>ОВ</v>
      </c>
      <c r="B577" s="9">
        <v>6941.46</v>
      </c>
      <c r="C577" s="11" t="s">
        <v>330</v>
      </c>
      <c r="D577" s="15" t="s">
        <v>331</v>
      </c>
      <c r="E577" s="11" t="s">
        <v>38</v>
      </c>
      <c r="F577" s="12" t="s">
        <v>1599</v>
      </c>
    </row>
    <row r="578" spans="1:6" ht="25.5">
      <c r="A578" s="10" t="str">
        <f>HYPERLINK(SUBSTITUTE(T(hl_0),"{0}","900332144063803"),hn_0)</f>
        <v>ОВ</v>
      </c>
      <c r="B578" s="9">
        <v>6941.46</v>
      </c>
      <c r="C578" s="11" t="s">
        <v>330</v>
      </c>
      <c r="D578" s="15" t="s">
        <v>331</v>
      </c>
      <c r="E578" s="11" t="s">
        <v>61</v>
      </c>
      <c r="F578" s="12" t="s">
        <v>1599</v>
      </c>
    </row>
    <row r="579" spans="1:6" ht="25.5">
      <c r="A579" s="10" t="str">
        <f>HYPERLINK(SUBSTITUTE(T(hl_0),"{0}","900332053995531"),hn_0)</f>
        <v>ОВ</v>
      </c>
      <c r="B579" s="9">
        <v>6941.46</v>
      </c>
      <c r="C579" s="11" t="s">
        <v>330</v>
      </c>
      <c r="D579" s="15" t="s">
        <v>331</v>
      </c>
      <c r="E579" s="11" t="s">
        <v>36</v>
      </c>
      <c r="F579" s="12" t="s">
        <v>1599</v>
      </c>
    </row>
    <row r="580" spans="1:6" ht="25.5">
      <c r="A580" s="10" t="str">
        <f>HYPERLINK(SUBSTITUTE(T(hl_0),"{0}","900332143959234"),hn_0)</f>
        <v>ОВ</v>
      </c>
      <c r="B580" s="9">
        <v>6941.46</v>
      </c>
      <c r="C580" s="11" t="s">
        <v>330</v>
      </c>
      <c r="D580" s="15" t="s">
        <v>331</v>
      </c>
      <c r="E580" s="11" t="s">
        <v>258</v>
      </c>
      <c r="F580" s="12" t="s">
        <v>1599</v>
      </c>
    </row>
    <row r="581" spans="1:6" ht="25.5">
      <c r="A581" s="10" t="str">
        <f>HYPERLINK(SUBSTITUTE(T(hl_0),"{0}","900332053974499"),hn_0)</f>
        <v>ОВ</v>
      </c>
      <c r="B581" s="9">
        <v>6941.46</v>
      </c>
      <c r="C581" s="11" t="s">
        <v>330</v>
      </c>
      <c r="D581" s="15" t="s">
        <v>331</v>
      </c>
      <c r="E581" s="11" t="s">
        <v>24</v>
      </c>
      <c r="F581" s="12" t="s">
        <v>1599</v>
      </c>
    </row>
    <row r="582" spans="1:6" ht="25.5">
      <c r="A582" s="10" t="str">
        <f>HYPERLINK(SUBSTITUTE(T(hl_0),"{0}","900332053979113"),hn_0)</f>
        <v>ОВ</v>
      </c>
      <c r="B582" s="9">
        <v>6941.46</v>
      </c>
      <c r="C582" s="11" t="s">
        <v>330</v>
      </c>
      <c r="D582" s="15" t="s">
        <v>331</v>
      </c>
      <c r="E582" s="11" t="s">
        <v>332</v>
      </c>
      <c r="F582" s="12" t="s">
        <v>1599</v>
      </c>
    </row>
    <row r="583" spans="1:6" ht="25.5">
      <c r="A583" s="10" t="str">
        <f>HYPERLINK(SUBSTITUTE(T(hl_0),"{0}","900332145678278"),hn_0)</f>
        <v>ОВ</v>
      </c>
      <c r="B583" s="9">
        <v>6941.46</v>
      </c>
      <c r="C583" s="11" t="s">
        <v>330</v>
      </c>
      <c r="D583" s="15" t="s">
        <v>331</v>
      </c>
      <c r="E583" s="11" t="s">
        <v>14</v>
      </c>
      <c r="F583" s="12" t="s">
        <v>1599</v>
      </c>
    </row>
    <row r="584" spans="1:6" ht="25.5">
      <c r="A584" s="10" t="str">
        <f>HYPERLINK(SUBSTITUTE(T(hl_0),"{0}","900332053929224"),hn_0)</f>
        <v>ОВ</v>
      </c>
      <c r="B584" s="9">
        <v>6941.46</v>
      </c>
      <c r="C584" s="11" t="s">
        <v>330</v>
      </c>
      <c r="D584" s="15" t="s">
        <v>331</v>
      </c>
      <c r="E584" s="11" t="s">
        <v>23</v>
      </c>
      <c r="F584" s="12" t="s">
        <v>1599</v>
      </c>
    </row>
    <row r="585" spans="1:6" ht="25.5">
      <c r="A585" s="10" t="str">
        <f>HYPERLINK(SUBSTITUTE(T(hl_0),"{0}","900332145661535"),hn_0)</f>
        <v>ОВ</v>
      </c>
      <c r="B585" s="9">
        <v>6941.46</v>
      </c>
      <c r="C585" s="11" t="s">
        <v>330</v>
      </c>
      <c r="D585" s="15" t="s">
        <v>331</v>
      </c>
      <c r="E585" s="11" t="s">
        <v>22</v>
      </c>
      <c r="F585" s="12" t="s">
        <v>1599</v>
      </c>
    </row>
    <row r="586" spans="1:6" ht="25.5">
      <c r="A586" s="10" t="str">
        <f>HYPERLINK(SUBSTITUTE(T(hl_0),"{0}","900332053971563"),hn_0)</f>
        <v>ОВ</v>
      </c>
      <c r="B586" s="9">
        <v>6941.46</v>
      </c>
      <c r="C586" s="11" t="s">
        <v>330</v>
      </c>
      <c r="D586" s="15" t="s">
        <v>331</v>
      </c>
      <c r="E586" s="11" t="s">
        <v>37</v>
      </c>
      <c r="F586" s="12" t="s">
        <v>1599</v>
      </c>
    </row>
    <row r="587" spans="1:6" ht="25.5">
      <c r="A587" s="10" t="str">
        <f>HYPERLINK(SUBSTITUTE(T(hl_0),"{0}","900332144020323"),hn_0)</f>
        <v>ОВ</v>
      </c>
      <c r="B587" s="9">
        <v>6941.46</v>
      </c>
      <c r="C587" s="11" t="s">
        <v>330</v>
      </c>
      <c r="D587" s="15" t="s">
        <v>331</v>
      </c>
      <c r="E587" s="11" t="s">
        <v>16</v>
      </c>
      <c r="F587" s="12" t="s">
        <v>1599</v>
      </c>
    </row>
    <row r="588" spans="1:6" ht="25.5">
      <c r="A588" s="10" t="str">
        <f>HYPERLINK(SUBSTITUTE(T(hl_0),"{0}","900332054023696"),hn_0)</f>
        <v>ОВ</v>
      </c>
      <c r="B588" s="9">
        <v>6941.46</v>
      </c>
      <c r="C588" s="11" t="s">
        <v>330</v>
      </c>
      <c r="D588" s="15" t="s">
        <v>331</v>
      </c>
      <c r="E588" s="11" t="s">
        <v>44</v>
      </c>
      <c r="F588" s="12" t="s">
        <v>1599</v>
      </c>
    </row>
    <row r="589" spans="1:6" ht="25.5">
      <c r="A589" s="10" t="str">
        <f>HYPERLINK(SUBSTITUTE(T(hl_0),"{0}","900332054017316"),hn_0)</f>
        <v>ОВ</v>
      </c>
      <c r="B589" s="9">
        <v>6941.46</v>
      </c>
      <c r="C589" s="11" t="s">
        <v>330</v>
      </c>
      <c r="D589" s="15" t="s">
        <v>331</v>
      </c>
      <c r="E589" s="11" t="s">
        <v>44</v>
      </c>
      <c r="F589" s="12" t="s">
        <v>1599</v>
      </c>
    </row>
    <row r="590" spans="1:6" ht="25.5">
      <c r="A590" s="10" t="str">
        <f>HYPERLINK(SUBSTITUTE(T(hl_0),"{0}","900332053954451"),hn_0)</f>
        <v>ОВ</v>
      </c>
      <c r="B590" s="9">
        <v>6941.46</v>
      </c>
      <c r="C590" s="11" t="s">
        <v>330</v>
      </c>
      <c r="D590" s="15" t="s">
        <v>331</v>
      </c>
      <c r="E590" s="11" t="s">
        <v>37</v>
      </c>
      <c r="F590" s="12" t="s">
        <v>1599</v>
      </c>
    </row>
    <row r="591" spans="1:6" ht="25.5">
      <c r="A591" s="10" t="str">
        <f>HYPERLINK(SUBSTITUTE(T(hl_0),"{0}","900332145703390"),hn_0)</f>
        <v>ОВ</v>
      </c>
      <c r="B591" s="9">
        <v>6941.46</v>
      </c>
      <c r="C591" s="11" t="s">
        <v>330</v>
      </c>
      <c r="D591" s="15" t="s">
        <v>331</v>
      </c>
      <c r="E591" s="11" t="s">
        <v>261</v>
      </c>
      <c r="F591" s="12" t="s">
        <v>1599</v>
      </c>
    </row>
    <row r="592" spans="1:6" ht="25.5">
      <c r="A592" s="10" t="str">
        <f>HYPERLINK(SUBSTITUTE(T(hl_0),"{0}","900332145977467"),hn_0)</f>
        <v>ОВ</v>
      </c>
      <c r="B592" s="9">
        <v>6680</v>
      </c>
      <c r="C592" s="11" t="s">
        <v>333</v>
      </c>
      <c r="D592" s="15" t="s">
        <v>334</v>
      </c>
      <c r="E592" s="11" t="s">
        <v>23</v>
      </c>
      <c r="F592" s="12" t="s">
        <v>1599</v>
      </c>
    </row>
    <row r="593" spans="1:6" ht="25.5">
      <c r="A593" s="10" t="str">
        <f>HYPERLINK(SUBSTITUTE(T(hl_0),"{0}","900332146072008"),hn_0)</f>
        <v>ОВ</v>
      </c>
      <c r="B593" s="9">
        <v>6680</v>
      </c>
      <c r="C593" s="11" t="s">
        <v>333</v>
      </c>
      <c r="D593" s="15" t="s">
        <v>334</v>
      </c>
      <c r="E593" s="11" t="s">
        <v>332</v>
      </c>
      <c r="F593" s="12" t="s">
        <v>1599</v>
      </c>
    </row>
    <row r="594" spans="1:6" ht="25.5">
      <c r="A594" s="10" t="str">
        <f>HYPERLINK(SUBSTITUTE(T(hl_0),"{0}","900332146128843"),hn_0)</f>
        <v>ОВ</v>
      </c>
      <c r="B594" s="9">
        <v>6680</v>
      </c>
      <c r="C594" s="11" t="s">
        <v>333</v>
      </c>
      <c r="D594" s="15" t="s">
        <v>334</v>
      </c>
      <c r="E594" s="11" t="s">
        <v>335</v>
      </c>
      <c r="F594" s="12" t="s">
        <v>1599</v>
      </c>
    </row>
    <row r="595" spans="1:6" ht="25.5">
      <c r="A595" s="10" t="str">
        <f>HYPERLINK(SUBSTITUTE(T(hl_0),"{0}","900332146132461"),hn_0)</f>
        <v>ОВ</v>
      </c>
      <c r="B595" s="9">
        <v>6680</v>
      </c>
      <c r="C595" s="11" t="s">
        <v>333</v>
      </c>
      <c r="D595" s="15" t="s">
        <v>334</v>
      </c>
      <c r="E595" s="11" t="s">
        <v>14</v>
      </c>
      <c r="F595" s="12" t="s">
        <v>1599</v>
      </c>
    </row>
    <row r="596" spans="1:6" ht="25.5">
      <c r="A596" s="10" t="str">
        <f>HYPERLINK(SUBSTITUTE(T(hl_0),"{0}","900332146135521"),hn_0)</f>
        <v>ОВ</v>
      </c>
      <c r="B596" s="9">
        <v>6680</v>
      </c>
      <c r="C596" s="11" t="s">
        <v>333</v>
      </c>
      <c r="D596" s="15" t="s">
        <v>334</v>
      </c>
      <c r="E596" s="11" t="s">
        <v>336</v>
      </c>
      <c r="F596" s="12" t="s">
        <v>1599</v>
      </c>
    </row>
    <row r="597" spans="1:6" ht="25.5">
      <c r="A597" s="10" t="str">
        <f>HYPERLINK(SUBSTITUTE(T(hl_0),"{0}","900332146118309"),hn_0)</f>
        <v>ОВ</v>
      </c>
      <c r="B597" s="9">
        <v>6680</v>
      </c>
      <c r="C597" s="11" t="s">
        <v>333</v>
      </c>
      <c r="D597" s="15" t="s">
        <v>334</v>
      </c>
      <c r="E597" s="11" t="s">
        <v>45</v>
      </c>
      <c r="F597" s="12" t="s">
        <v>1599</v>
      </c>
    </row>
    <row r="598" spans="1:6" ht="25.5">
      <c r="A598" s="10" t="str">
        <f>HYPERLINK(SUBSTITUTE(T(hl_0),"{0}","900332146139852"),hn_0)</f>
        <v>ОВ</v>
      </c>
      <c r="B598" s="9">
        <v>6680</v>
      </c>
      <c r="C598" s="11" t="s">
        <v>333</v>
      </c>
      <c r="D598" s="15" t="s">
        <v>334</v>
      </c>
      <c r="E598" s="11" t="s">
        <v>261</v>
      </c>
      <c r="F598" s="12" t="s">
        <v>1599</v>
      </c>
    </row>
    <row r="599" spans="1:6" ht="25.5">
      <c r="A599" s="10" t="str">
        <f>HYPERLINK(SUBSTITUTE(T(hl_0),"{0}","900332146142849"),hn_0)</f>
        <v>ОВ</v>
      </c>
      <c r="B599" s="9">
        <v>6680</v>
      </c>
      <c r="C599" s="11" t="s">
        <v>333</v>
      </c>
      <c r="D599" s="15" t="s">
        <v>334</v>
      </c>
      <c r="E599" s="11" t="s">
        <v>16</v>
      </c>
      <c r="F599" s="12" t="s">
        <v>1599</v>
      </c>
    </row>
    <row r="600" spans="1:6" ht="25.5">
      <c r="A600" s="10" t="str">
        <f>HYPERLINK(SUBSTITUTE(T(hl_0),"{0}","900332146109772"),hn_0)</f>
        <v>ОВ</v>
      </c>
      <c r="B600" s="9">
        <v>6680</v>
      </c>
      <c r="C600" s="11" t="s">
        <v>333</v>
      </c>
      <c r="D600" s="15" t="s">
        <v>334</v>
      </c>
      <c r="E600" s="11" t="s">
        <v>44</v>
      </c>
      <c r="F600" s="12" t="s">
        <v>1599</v>
      </c>
    </row>
    <row r="601" spans="1:6" ht="25.5">
      <c r="A601" s="10" t="str">
        <f>HYPERLINK(SUBSTITUTE(T(hl_0),"{0}","900332146121820"),hn_0)</f>
        <v>ОВ</v>
      </c>
      <c r="B601" s="9">
        <v>6680</v>
      </c>
      <c r="C601" s="11" t="s">
        <v>333</v>
      </c>
      <c r="D601" s="15" t="s">
        <v>334</v>
      </c>
      <c r="E601" s="11" t="s">
        <v>22</v>
      </c>
      <c r="F601" s="12" t="s">
        <v>1599</v>
      </c>
    </row>
    <row r="602" spans="1:6" ht="25.5">
      <c r="A602" s="10" t="str">
        <f>HYPERLINK(SUBSTITUTE(T(hl_0),"{0}","900332146083993"),hn_0)</f>
        <v>ОВ</v>
      </c>
      <c r="B602" s="9">
        <v>6680</v>
      </c>
      <c r="C602" s="11" t="s">
        <v>333</v>
      </c>
      <c r="D602" s="15" t="s">
        <v>334</v>
      </c>
      <c r="E602" s="11" t="s">
        <v>20</v>
      </c>
      <c r="F602" s="12" t="s">
        <v>1599</v>
      </c>
    </row>
    <row r="603" spans="1:6" ht="25.5">
      <c r="A603" s="10" t="str">
        <f>HYPERLINK(SUBSTITUTE(T(hl_0),"{0}","900332146092031"),hn_0)</f>
        <v>ОВ</v>
      </c>
      <c r="B603" s="9">
        <v>6680</v>
      </c>
      <c r="C603" s="11" t="s">
        <v>333</v>
      </c>
      <c r="D603" s="15" t="s">
        <v>334</v>
      </c>
      <c r="E603" s="11" t="s">
        <v>16</v>
      </c>
      <c r="F603" s="12" t="s">
        <v>1599</v>
      </c>
    </row>
    <row r="604" spans="1:6" ht="25.5">
      <c r="A604" s="10" t="str">
        <f>HYPERLINK(SUBSTITUTE(T(hl_0),"{0}","900332146114275"),hn_0)</f>
        <v>ОВ</v>
      </c>
      <c r="B604" s="9">
        <v>6680</v>
      </c>
      <c r="C604" s="11" t="s">
        <v>333</v>
      </c>
      <c r="D604" s="15" t="s">
        <v>334</v>
      </c>
      <c r="E604" s="11" t="s">
        <v>61</v>
      </c>
      <c r="F604" s="12" t="s">
        <v>1599</v>
      </c>
    </row>
    <row r="605" spans="1:6" ht="12.75">
      <c r="A605" s="10" t="str">
        <f>HYPERLINK(SUBSTITUTE(T(hl_0),"{0}","319331674225265"),hn_0)</f>
        <v>ОВ</v>
      </c>
      <c r="B605" s="9">
        <v>5500</v>
      </c>
      <c r="C605" s="11" t="s">
        <v>337</v>
      </c>
      <c r="D605" s="15" t="s">
        <v>1173</v>
      </c>
      <c r="E605" s="11" t="s">
        <v>22</v>
      </c>
      <c r="F605" s="11" t="s">
        <v>1599</v>
      </c>
    </row>
    <row r="606" spans="1:6" ht="51">
      <c r="A606" s="10" t="str">
        <f>HYPERLINK(SUBSTITUTE(T(hl_0),"{0}","321331849641293"),hn_0)</f>
        <v>ОВ</v>
      </c>
      <c r="B606" s="9">
        <v>5620</v>
      </c>
      <c r="C606" s="11" t="s">
        <v>338</v>
      </c>
      <c r="D606" s="15" t="s">
        <v>1215</v>
      </c>
      <c r="E606" s="11" t="s">
        <v>20</v>
      </c>
      <c r="F606" s="12" t="s">
        <v>1599</v>
      </c>
    </row>
    <row r="607" spans="1:6" ht="25.5">
      <c r="A607" s="10" t="str">
        <f>HYPERLINK(SUBSTITUTE(T(hl_0),"{0}","321331846691231"),hn_0)</f>
        <v>ОВ</v>
      </c>
      <c r="B607" s="9">
        <v>8000</v>
      </c>
      <c r="C607" s="11" t="s">
        <v>338</v>
      </c>
      <c r="D607" s="15" t="s">
        <v>1216</v>
      </c>
      <c r="E607" s="11" t="s">
        <v>20</v>
      </c>
      <c r="F607" s="12" t="s">
        <v>1599</v>
      </c>
    </row>
    <row r="608" spans="1:6" ht="38.25">
      <c r="A608" s="10" t="str">
        <f>HYPERLINK(SUBSTITUTE(T(hl_0),"{0}","325332052890584"),hn_0)</f>
        <v>ОВ</v>
      </c>
      <c r="B608" s="9">
        <v>6000</v>
      </c>
      <c r="C608" s="11" t="s">
        <v>338</v>
      </c>
      <c r="D608" s="15" t="s">
        <v>1217</v>
      </c>
      <c r="E608" s="11" t="s">
        <v>36</v>
      </c>
      <c r="F608" s="12" t="s">
        <v>1599</v>
      </c>
    </row>
    <row r="609" spans="1:6" ht="51">
      <c r="A609" s="10" t="str">
        <f>HYPERLINK(SUBSTITUTE(T(hl_0),"{0}","332329115924957"),hn_0)</f>
        <v>ОВ</v>
      </c>
      <c r="B609" s="9">
        <v>6000</v>
      </c>
      <c r="C609" s="11" t="s">
        <v>338</v>
      </c>
      <c r="D609" s="15" t="s">
        <v>1218</v>
      </c>
      <c r="E609" s="11" t="s">
        <v>14</v>
      </c>
      <c r="F609" s="11" t="s">
        <v>1599</v>
      </c>
    </row>
    <row r="610" spans="1:6" ht="38.25">
      <c r="A610" s="10" t="str">
        <f>HYPERLINK(SUBSTITUTE(T(hl_0),"{0}","330326871834048"),hn_0)</f>
        <v>ОВ</v>
      </c>
      <c r="B610" s="9">
        <v>4723</v>
      </c>
      <c r="C610" s="11" t="s">
        <v>339</v>
      </c>
      <c r="D610" s="15" t="s">
        <v>1219</v>
      </c>
      <c r="E610" s="11" t="s">
        <v>45</v>
      </c>
      <c r="F610" s="11" t="s">
        <v>1599</v>
      </c>
    </row>
    <row r="611" spans="1:6" ht="51">
      <c r="A611" s="10" t="str">
        <f>HYPERLINK(SUBSTITUTE(T(hl_0),"{0}","330331507909465"),hn_0)</f>
        <v>ОВ</v>
      </c>
      <c r="B611" s="9">
        <v>8500</v>
      </c>
      <c r="C611" s="11" t="s">
        <v>340</v>
      </c>
      <c r="D611" s="15" t="s">
        <v>1220</v>
      </c>
      <c r="E611" s="11" t="s">
        <v>28</v>
      </c>
      <c r="F611" s="11" t="s">
        <v>1599</v>
      </c>
    </row>
    <row r="612" spans="1:6" ht="12.75">
      <c r="A612" s="10" t="str">
        <f>HYPERLINK(SUBSTITUTE(T(hl_0),"{0}","900328889183898"),hn_0)</f>
        <v>ОВ</v>
      </c>
      <c r="B612" s="9">
        <v>4723</v>
      </c>
      <c r="C612" s="11" t="s">
        <v>341</v>
      </c>
      <c r="D612" s="15" t="s">
        <v>342</v>
      </c>
      <c r="E612" s="11" t="s">
        <v>258</v>
      </c>
      <c r="F612" s="12" t="s">
        <v>1599</v>
      </c>
    </row>
    <row r="613" spans="1:6" ht="12.75">
      <c r="A613" s="10" t="str">
        <f>HYPERLINK(SUBSTITUTE(T(hl_0),"{0}","900328889185587"),hn_0)</f>
        <v>ОВ</v>
      </c>
      <c r="B613" s="9">
        <v>4723</v>
      </c>
      <c r="C613" s="11" t="s">
        <v>341</v>
      </c>
      <c r="D613" s="15" t="s">
        <v>342</v>
      </c>
      <c r="E613" s="11" t="s">
        <v>258</v>
      </c>
      <c r="F613" s="12" t="s">
        <v>1599</v>
      </c>
    </row>
    <row r="614" spans="1:6" ht="12.75">
      <c r="A614" s="10" t="str">
        <f>HYPERLINK(SUBSTITUTE(T(hl_0),"{0}","900328889182043"),hn_0)</f>
        <v>ОВ</v>
      </c>
      <c r="B614" s="9">
        <v>4723</v>
      </c>
      <c r="C614" s="11" t="s">
        <v>341</v>
      </c>
      <c r="D614" s="15" t="s">
        <v>342</v>
      </c>
      <c r="E614" s="11" t="s">
        <v>258</v>
      </c>
      <c r="F614" s="12" t="s">
        <v>1599</v>
      </c>
    </row>
    <row r="615" spans="1:6" ht="25.5">
      <c r="A615" s="10" t="str">
        <f>HYPERLINK(SUBSTITUTE(T(hl_0),"{0}","900331676138928"),hn_0)</f>
        <v>ОВ</v>
      </c>
      <c r="B615" s="9">
        <v>7000</v>
      </c>
      <c r="C615" s="11" t="s">
        <v>343</v>
      </c>
      <c r="D615" s="15" t="s">
        <v>344</v>
      </c>
      <c r="E615" s="11" t="s">
        <v>16</v>
      </c>
      <c r="F615" s="12" t="s">
        <v>1599</v>
      </c>
    </row>
    <row r="616" spans="1:6" ht="25.5">
      <c r="A616" s="10" t="str">
        <f>HYPERLINK(SUBSTITUTE(T(hl_0),"{0}","900331676137056"),hn_0)</f>
        <v>ОВ</v>
      </c>
      <c r="B616" s="9">
        <v>7000</v>
      </c>
      <c r="C616" s="11" t="s">
        <v>343</v>
      </c>
      <c r="D616" s="15" t="s">
        <v>344</v>
      </c>
      <c r="E616" s="11" t="s">
        <v>16</v>
      </c>
      <c r="F616" s="12" t="s">
        <v>1599</v>
      </c>
    </row>
    <row r="617" spans="1:6" ht="38.25">
      <c r="A617" s="10" t="str">
        <f>HYPERLINK(SUBSTITUTE(T(hl_0),"{0}","319332251494250"),hn_0)</f>
        <v>ОВ</v>
      </c>
      <c r="B617" s="9">
        <v>8000</v>
      </c>
      <c r="C617" s="11" t="s">
        <v>345</v>
      </c>
      <c r="D617" s="15" t="s">
        <v>1221</v>
      </c>
      <c r="E617" s="11" t="s">
        <v>22</v>
      </c>
      <c r="F617" s="11" t="s">
        <v>1599</v>
      </c>
    </row>
    <row r="618" spans="1:6" ht="38.25">
      <c r="A618" s="10" t="str">
        <f>HYPERLINK(SUBSTITUTE(T(hl_0),"{0}","319331970889804"),hn_0)</f>
        <v>ОВ</v>
      </c>
      <c r="B618" s="9">
        <v>6000</v>
      </c>
      <c r="C618" s="11" t="s">
        <v>346</v>
      </c>
      <c r="D618" s="15" t="s">
        <v>1222</v>
      </c>
      <c r="E618" s="11" t="s">
        <v>22</v>
      </c>
      <c r="F618" s="11" t="s">
        <v>1599</v>
      </c>
    </row>
    <row r="619" spans="1:6" ht="25.5">
      <c r="A619" s="10" t="str">
        <f>HYPERLINK(SUBSTITUTE(T(hl_0),"{0}","327331966002419"),hn_0)</f>
        <v>ОВ</v>
      </c>
      <c r="B619" s="9">
        <v>8000</v>
      </c>
      <c r="C619" s="11" t="s">
        <v>346</v>
      </c>
      <c r="D619" s="15" t="s">
        <v>65</v>
      </c>
      <c r="E619" s="11" t="s">
        <v>42</v>
      </c>
      <c r="F619" s="12" t="s">
        <v>1599</v>
      </c>
    </row>
    <row r="620" spans="1:6" ht="25.5">
      <c r="A620" s="10" t="str">
        <f>HYPERLINK(SUBSTITUTE(T(hl_0),"{0}","327331966547933"),hn_0)</f>
        <v>ОВ</v>
      </c>
      <c r="B620" s="9">
        <v>8000</v>
      </c>
      <c r="C620" s="11" t="s">
        <v>346</v>
      </c>
      <c r="D620" s="15" t="s">
        <v>65</v>
      </c>
      <c r="E620" s="11" t="s">
        <v>42</v>
      </c>
      <c r="F620" s="12" t="s">
        <v>1599</v>
      </c>
    </row>
    <row r="621" spans="1:6" ht="25.5">
      <c r="A621" s="10" t="str">
        <f>HYPERLINK(SUBSTITUTE(T(hl_0),"{0}","900331507321409"),hn_0)</f>
        <v>ОВ</v>
      </c>
      <c r="B621" s="9">
        <v>8000</v>
      </c>
      <c r="C621" s="11" t="s">
        <v>346</v>
      </c>
      <c r="D621" s="15" t="s">
        <v>347</v>
      </c>
      <c r="E621" s="11" t="s">
        <v>16</v>
      </c>
      <c r="F621" s="12" t="s">
        <v>1599</v>
      </c>
    </row>
    <row r="622" spans="1:6" ht="12.75">
      <c r="A622" s="10" t="str">
        <f>HYPERLINK(SUBSTITUTE(T(hl_0),"{0}","900331625394271"),hn_0)</f>
        <v>ОВ</v>
      </c>
      <c r="B622" s="9">
        <v>9000</v>
      </c>
      <c r="C622" s="11" t="s">
        <v>348</v>
      </c>
      <c r="D622" s="15" t="s">
        <v>349</v>
      </c>
      <c r="E622" s="11" t="s">
        <v>16</v>
      </c>
      <c r="F622" s="12" t="s">
        <v>1599</v>
      </c>
    </row>
    <row r="623" spans="1:6" ht="63.75">
      <c r="A623" s="10" t="str">
        <f>HYPERLINK(SUBSTITUTE(T(hl_0),"{0}","321332147286490"),hn_0)</f>
        <v>ОВ</v>
      </c>
      <c r="B623" s="9">
        <v>6000</v>
      </c>
      <c r="C623" s="11" t="s">
        <v>350</v>
      </c>
      <c r="D623" s="15" t="s">
        <v>1223</v>
      </c>
      <c r="E623" s="11" t="s">
        <v>20</v>
      </c>
      <c r="F623" s="12" t="s">
        <v>1599</v>
      </c>
    </row>
    <row r="624" spans="1:6" ht="38.25">
      <c r="A624" s="10" t="str">
        <f>HYPERLINK(SUBSTITUTE(T(hl_0),"{0}","319331625601106"),hn_0)</f>
        <v>ОВ</v>
      </c>
      <c r="B624" s="9">
        <v>6000</v>
      </c>
      <c r="C624" s="11" t="s">
        <v>351</v>
      </c>
      <c r="D624" s="15" t="s">
        <v>1224</v>
      </c>
      <c r="E624" s="11" t="s">
        <v>22</v>
      </c>
      <c r="F624" s="11" t="s">
        <v>1599</v>
      </c>
    </row>
    <row r="625" spans="1:6" ht="38.25">
      <c r="A625" s="10" t="str">
        <f>HYPERLINK(SUBSTITUTE(T(hl_0),"{0}","319331625592602"),hn_0)</f>
        <v>ОВ</v>
      </c>
      <c r="B625" s="9">
        <v>6000</v>
      </c>
      <c r="C625" s="11" t="s">
        <v>351</v>
      </c>
      <c r="D625" s="15" t="s">
        <v>352</v>
      </c>
      <c r="E625" s="11" t="s">
        <v>22</v>
      </c>
      <c r="F625" s="11" t="s">
        <v>1599</v>
      </c>
    </row>
    <row r="626" spans="1:6" ht="76.5">
      <c r="A626" s="10" t="str">
        <f>HYPERLINK(SUBSTITUTE(T(hl_0),"{0}","321332247279203"),hn_0)</f>
        <v>ОВ</v>
      </c>
      <c r="B626" s="9">
        <v>6000</v>
      </c>
      <c r="C626" s="11" t="s">
        <v>353</v>
      </c>
      <c r="D626" s="15" t="s">
        <v>1225</v>
      </c>
      <c r="E626" s="11" t="s">
        <v>64</v>
      </c>
      <c r="F626" s="12" t="s">
        <v>1599</v>
      </c>
    </row>
    <row r="627" spans="1:6" ht="12.75">
      <c r="A627" s="10" t="str">
        <f>HYPERLINK(SUBSTITUTE(T(hl_0),"{0}","900331558362850"),hn_0)</f>
        <v>ОВ</v>
      </c>
      <c r="B627" s="9">
        <v>8000</v>
      </c>
      <c r="C627" s="11" t="s">
        <v>354</v>
      </c>
      <c r="D627" s="15" t="s">
        <v>355</v>
      </c>
      <c r="E627" s="11" t="s">
        <v>16</v>
      </c>
      <c r="F627" s="12" t="s">
        <v>1599</v>
      </c>
    </row>
    <row r="628" spans="1:6" ht="12.75">
      <c r="A628" s="10" t="str">
        <f>HYPERLINK(SUBSTITUTE(T(hl_0),"{0}","900331558004801"),hn_0)</f>
        <v>ОВ</v>
      </c>
      <c r="B628" s="9">
        <v>8000</v>
      </c>
      <c r="C628" s="11" t="s">
        <v>354</v>
      </c>
      <c r="D628" s="15" t="s">
        <v>355</v>
      </c>
      <c r="E628" s="11" t="s">
        <v>16</v>
      </c>
      <c r="F628" s="12" t="s">
        <v>1599</v>
      </c>
    </row>
    <row r="629" spans="1:6" ht="12.75">
      <c r="A629" s="10" t="str">
        <f>HYPERLINK(SUBSTITUTE(T(hl_0),"{0}","319332144187145"),hn_0)</f>
        <v>ОВ</v>
      </c>
      <c r="B629" s="9">
        <v>7400</v>
      </c>
      <c r="C629" s="11" t="s">
        <v>356</v>
      </c>
      <c r="D629" s="15" t="s">
        <v>1226</v>
      </c>
      <c r="E629" s="11" t="s">
        <v>22</v>
      </c>
      <c r="F629" s="11" t="s">
        <v>1599</v>
      </c>
    </row>
    <row r="630" spans="1:6" ht="12.75">
      <c r="A630" s="10" t="str">
        <f>HYPERLINK(SUBSTITUTE(T(hl_0),"{0}","319332144186846"),hn_0)</f>
        <v>ОВ</v>
      </c>
      <c r="B630" s="9">
        <v>7400</v>
      </c>
      <c r="C630" s="11" t="s">
        <v>356</v>
      </c>
      <c r="D630" s="15" t="s">
        <v>1227</v>
      </c>
      <c r="E630" s="11" t="s">
        <v>22</v>
      </c>
      <c r="F630" s="11" t="s">
        <v>1599</v>
      </c>
    </row>
    <row r="631" spans="1:6" ht="12.75">
      <c r="A631" s="10" t="str">
        <f>HYPERLINK(SUBSTITUTE(T(hl_0),"{0}","319328112828402"),hn_0)</f>
        <v>ОВ</v>
      </c>
      <c r="B631" s="9">
        <v>6000</v>
      </c>
      <c r="C631" s="11" t="s">
        <v>356</v>
      </c>
      <c r="D631" s="15" t="s">
        <v>1228</v>
      </c>
      <c r="E631" s="11" t="s">
        <v>22</v>
      </c>
      <c r="F631" s="11" t="s">
        <v>1599</v>
      </c>
    </row>
    <row r="632" spans="1:6" ht="25.5">
      <c r="A632" s="10" t="str">
        <f>HYPERLINK(SUBSTITUTE(T(hl_0),"{0}","320330662530554"),hn_0)</f>
        <v>ОВ</v>
      </c>
      <c r="B632" s="9">
        <v>6500</v>
      </c>
      <c r="C632" s="11" t="s">
        <v>356</v>
      </c>
      <c r="D632" s="15" t="s">
        <v>1229</v>
      </c>
      <c r="E632" s="11" t="s">
        <v>23</v>
      </c>
      <c r="F632" s="12" t="s">
        <v>1599</v>
      </c>
    </row>
    <row r="633" spans="1:6" ht="38.25">
      <c r="A633" s="10" t="str">
        <f>HYPERLINK(SUBSTITUTE(T(hl_0),"{0}","323332315510866"),hn_0)</f>
        <v>ОВ</v>
      </c>
      <c r="B633" s="9">
        <v>9500</v>
      </c>
      <c r="C633" s="11" t="s">
        <v>356</v>
      </c>
      <c r="D633" s="15" t="s">
        <v>1230</v>
      </c>
      <c r="E633" s="11" t="s">
        <v>24</v>
      </c>
      <c r="F633" s="11" t="s">
        <v>1599</v>
      </c>
    </row>
    <row r="634" spans="1:6" ht="25.5">
      <c r="A634" s="10" t="str">
        <f>HYPERLINK(SUBSTITUTE(T(hl_0),"{0}","324331647738145"),hn_0)</f>
        <v>ОВ</v>
      </c>
      <c r="B634" s="9">
        <v>4723</v>
      </c>
      <c r="C634" s="11" t="s">
        <v>356</v>
      </c>
      <c r="D634" s="15" t="s">
        <v>357</v>
      </c>
      <c r="E634" s="11" t="s">
        <v>332</v>
      </c>
      <c r="F634" s="11" t="s">
        <v>1599</v>
      </c>
    </row>
    <row r="635" spans="1:6" ht="12.75">
      <c r="A635" s="10" t="str">
        <f>HYPERLINK(SUBSTITUTE(T(hl_0),"{0}","327332053705710"),hn_0)</f>
        <v>ОВ</v>
      </c>
      <c r="B635" s="9">
        <v>9000</v>
      </c>
      <c r="C635" s="11" t="s">
        <v>356</v>
      </c>
      <c r="D635" s="15" t="s">
        <v>358</v>
      </c>
      <c r="E635" s="11" t="s">
        <v>244</v>
      </c>
      <c r="F635" s="12" t="s">
        <v>1599</v>
      </c>
    </row>
    <row r="636" spans="1:6" ht="12.75">
      <c r="A636" s="10" t="str">
        <f>HYPERLINK(SUBSTITUTE(T(hl_0),"{0}","327332053720664"),hn_0)</f>
        <v>ОВ</v>
      </c>
      <c r="B636" s="9">
        <v>9000</v>
      </c>
      <c r="C636" s="11" t="s">
        <v>356</v>
      </c>
      <c r="D636" s="15" t="s">
        <v>358</v>
      </c>
      <c r="E636" s="11" t="s">
        <v>244</v>
      </c>
      <c r="F636" s="12" t="s">
        <v>1599</v>
      </c>
    </row>
    <row r="637" spans="1:6" ht="12.75">
      <c r="A637" s="10" t="str">
        <f>HYPERLINK(SUBSTITUTE(T(hl_0),"{0}","327332053720672"),hn_0)</f>
        <v>ОВ</v>
      </c>
      <c r="B637" s="9">
        <v>9000</v>
      </c>
      <c r="C637" s="11" t="s">
        <v>356</v>
      </c>
      <c r="D637" s="15" t="s">
        <v>358</v>
      </c>
      <c r="E637" s="11" t="s">
        <v>16</v>
      </c>
      <c r="F637" s="12" t="s">
        <v>1599</v>
      </c>
    </row>
    <row r="638" spans="1:6" ht="12.75">
      <c r="A638" s="10" t="str">
        <f>HYPERLINK(SUBSTITUTE(T(hl_0),"{0}","327332053720679"),hn_0)</f>
        <v>ОВ</v>
      </c>
      <c r="B638" s="9">
        <v>9000</v>
      </c>
      <c r="C638" s="11" t="s">
        <v>356</v>
      </c>
      <c r="D638" s="15" t="s">
        <v>358</v>
      </c>
      <c r="E638" s="11" t="s">
        <v>244</v>
      </c>
      <c r="F638" s="12" t="s">
        <v>1599</v>
      </c>
    </row>
    <row r="639" spans="1:6" ht="12.75">
      <c r="A639" s="10" t="str">
        <f>HYPERLINK(SUBSTITUTE(T(hl_0),"{0}","900332247045492"),hn_0)</f>
        <v>ОВ</v>
      </c>
      <c r="B639" s="9">
        <v>4900</v>
      </c>
      <c r="C639" s="11" t="s">
        <v>356</v>
      </c>
      <c r="D639" s="15" t="s">
        <v>359</v>
      </c>
      <c r="E639" s="11" t="s">
        <v>16</v>
      </c>
      <c r="F639" s="12" t="s">
        <v>1599</v>
      </c>
    </row>
    <row r="640" spans="1:6" ht="12.75">
      <c r="A640" s="10" t="str">
        <f>HYPERLINK(SUBSTITUTE(T(hl_0),"{0}","900332144142997"),hn_0)</f>
        <v>ОВ</v>
      </c>
      <c r="B640" s="9">
        <v>6000</v>
      </c>
      <c r="C640" s="11" t="s">
        <v>356</v>
      </c>
      <c r="D640" s="15" t="s">
        <v>360</v>
      </c>
      <c r="E640" s="11" t="s">
        <v>16</v>
      </c>
      <c r="F640" s="12" t="s">
        <v>1599</v>
      </c>
    </row>
    <row r="641" spans="1:6" ht="51">
      <c r="A641" s="10" t="str">
        <f>HYPERLINK(SUBSTITUTE(T(hl_0),"{0}","900324973385448"),hn_0)</f>
        <v>ОВ</v>
      </c>
      <c r="B641" s="9">
        <v>23000</v>
      </c>
      <c r="C641" s="11" t="s">
        <v>356</v>
      </c>
      <c r="D641" s="15" t="s">
        <v>361</v>
      </c>
      <c r="E641" s="11" t="s">
        <v>362</v>
      </c>
      <c r="F641" s="12" t="s">
        <v>1599</v>
      </c>
    </row>
    <row r="642" spans="1:6" ht="25.5">
      <c r="A642" s="10" t="str">
        <f>HYPERLINK(SUBSTITUTE(T(hl_0),"{0}","900331138005013"),hn_0)</f>
        <v>ОВ</v>
      </c>
      <c r="B642" s="9">
        <v>8000</v>
      </c>
      <c r="C642" s="11" t="s">
        <v>356</v>
      </c>
      <c r="D642" s="15" t="s">
        <v>363</v>
      </c>
      <c r="E642" s="11" t="s">
        <v>79</v>
      </c>
      <c r="F642" s="12" t="s">
        <v>1599</v>
      </c>
    </row>
    <row r="643" spans="1:6" ht="12.75">
      <c r="A643" s="10" t="str">
        <f>HYPERLINK(SUBSTITUTE(T(hl_0),"{0}","900327837691337"),hn_0)</f>
        <v>ОВ</v>
      </c>
      <c r="B643" s="9">
        <v>7700</v>
      </c>
      <c r="C643" s="11" t="s">
        <v>356</v>
      </c>
      <c r="D643" s="15" t="s">
        <v>364</v>
      </c>
      <c r="E643" s="11" t="s">
        <v>16</v>
      </c>
      <c r="F643" s="12" t="s">
        <v>1599</v>
      </c>
    </row>
    <row r="644" spans="1:6" ht="12.75">
      <c r="A644" s="10" t="str">
        <f>HYPERLINK(SUBSTITUTE(T(hl_0),"{0}","900327941971140"),hn_0)</f>
        <v>ОВ</v>
      </c>
      <c r="B644" s="9">
        <v>7000</v>
      </c>
      <c r="C644" s="11" t="s">
        <v>356</v>
      </c>
      <c r="D644" s="15" t="s">
        <v>365</v>
      </c>
      <c r="E644" s="11" t="s">
        <v>16</v>
      </c>
      <c r="F644" s="12" t="s">
        <v>1599</v>
      </c>
    </row>
    <row r="645" spans="1:6" ht="12.75">
      <c r="A645" s="10" t="str">
        <f>HYPERLINK(SUBSTITUTE(T(hl_0),"{0}","900327942155066"),hn_0)</f>
        <v>ОВ</v>
      </c>
      <c r="B645" s="9">
        <v>7000</v>
      </c>
      <c r="C645" s="11" t="s">
        <v>356</v>
      </c>
      <c r="D645" s="15" t="s">
        <v>365</v>
      </c>
      <c r="E645" s="11" t="s">
        <v>16</v>
      </c>
      <c r="F645" s="12" t="s">
        <v>1599</v>
      </c>
    </row>
    <row r="646" spans="1:6" ht="12.75">
      <c r="A646" s="10" t="str">
        <f>HYPERLINK(SUBSTITUTE(T(hl_0),"{0}","900327837705005"),hn_0)</f>
        <v>ОВ</v>
      </c>
      <c r="B646" s="9">
        <v>7700</v>
      </c>
      <c r="C646" s="11" t="s">
        <v>356</v>
      </c>
      <c r="D646" s="15" t="s">
        <v>364</v>
      </c>
      <c r="E646" s="11" t="s">
        <v>16</v>
      </c>
      <c r="F646" s="12" t="s">
        <v>1599</v>
      </c>
    </row>
    <row r="647" spans="1:6" ht="12.75">
      <c r="A647" s="10" t="str">
        <f>HYPERLINK(SUBSTITUTE(T(hl_0),"{0}","900327942156498"),hn_0)</f>
        <v>ОВ</v>
      </c>
      <c r="B647" s="9">
        <v>7000</v>
      </c>
      <c r="C647" s="11" t="s">
        <v>356</v>
      </c>
      <c r="D647" s="15" t="s">
        <v>365</v>
      </c>
      <c r="E647" s="11" t="s">
        <v>16</v>
      </c>
      <c r="F647" s="12" t="s">
        <v>1599</v>
      </c>
    </row>
    <row r="648" spans="1:6" ht="76.5">
      <c r="A648" s="10" t="str">
        <f>HYPERLINK(SUBSTITUTE(T(hl_0),"{0}","900331968776910"),hn_0)</f>
        <v>ОВ</v>
      </c>
      <c r="B648" s="9">
        <v>10000</v>
      </c>
      <c r="C648" s="11" t="s">
        <v>356</v>
      </c>
      <c r="D648" s="15" t="s">
        <v>366</v>
      </c>
      <c r="E648" s="11" t="s">
        <v>16</v>
      </c>
      <c r="F648" s="12" t="s">
        <v>1599</v>
      </c>
    </row>
    <row r="649" spans="1:6" ht="12.75">
      <c r="A649" s="10" t="str">
        <f>HYPERLINK(SUBSTITUTE(T(hl_0),"{0}","900327811696360"),hn_0)</f>
        <v>ОВ</v>
      </c>
      <c r="B649" s="9">
        <v>8000</v>
      </c>
      <c r="C649" s="11" t="s">
        <v>356</v>
      </c>
      <c r="D649" s="15" t="s">
        <v>367</v>
      </c>
      <c r="E649" s="11" t="s">
        <v>16</v>
      </c>
      <c r="F649" s="12" t="s">
        <v>1599</v>
      </c>
    </row>
    <row r="650" spans="1:6" ht="12.75">
      <c r="A650" s="10" t="str">
        <f>HYPERLINK(SUBSTITUTE(T(hl_0),"{0}","319330547705104"),hn_0)</f>
        <v>ОВ</v>
      </c>
      <c r="B650" s="9">
        <v>5000</v>
      </c>
      <c r="C650" s="11" t="s">
        <v>368</v>
      </c>
      <c r="D650" s="15" t="s">
        <v>1231</v>
      </c>
      <c r="E650" s="11" t="s">
        <v>22</v>
      </c>
      <c r="F650" s="11" t="s">
        <v>1599</v>
      </c>
    </row>
    <row r="651" spans="1:6" ht="38.25">
      <c r="A651" s="10" t="str">
        <f>HYPERLINK(SUBSTITUTE(T(hl_0),"{0}","320329938708293"),hn_0)</f>
        <v>ОВ</v>
      </c>
      <c r="B651" s="9">
        <v>6500</v>
      </c>
      <c r="C651" s="11" t="s">
        <v>368</v>
      </c>
      <c r="D651" s="15" t="s">
        <v>1232</v>
      </c>
      <c r="E651" s="11" t="s">
        <v>23</v>
      </c>
      <c r="F651" s="12" t="s">
        <v>1599</v>
      </c>
    </row>
    <row r="652" spans="1:6" ht="38.25">
      <c r="A652" s="10" t="str">
        <f>HYPERLINK(SUBSTITUTE(T(hl_0),"{0}","320328083628987"),hn_0)</f>
        <v>ОВ</v>
      </c>
      <c r="B652" s="9">
        <v>6500</v>
      </c>
      <c r="C652" s="11" t="s">
        <v>368</v>
      </c>
      <c r="D652" s="15" t="s">
        <v>1232</v>
      </c>
      <c r="E652" s="11" t="s">
        <v>23</v>
      </c>
      <c r="F652" s="12" t="s">
        <v>1599</v>
      </c>
    </row>
    <row r="653" spans="1:6" ht="25.5">
      <c r="A653" s="10" t="str">
        <f>HYPERLINK(SUBSTITUTE(T(hl_0),"{0}","321332145721938"),hn_0)</f>
        <v>ОВ</v>
      </c>
      <c r="B653" s="9">
        <v>4723</v>
      </c>
      <c r="C653" s="11" t="s">
        <v>368</v>
      </c>
      <c r="D653" s="15" t="s">
        <v>1233</v>
      </c>
      <c r="E653" s="11" t="s">
        <v>16</v>
      </c>
      <c r="F653" s="12" t="s">
        <v>1599</v>
      </c>
    </row>
    <row r="654" spans="1:6" ht="25.5">
      <c r="A654" s="10" t="str">
        <f>HYPERLINK(SUBSTITUTE(T(hl_0),"{0}","321332145749691"),hn_0)</f>
        <v>ОВ</v>
      </c>
      <c r="B654" s="9">
        <v>4723</v>
      </c>
      <c r="C654" s="11" t="s">
        <v>368</v>
      </c>
      <c r="D654" s="15" t="s">
        <v>1233</v>
      </c>
      <c r="E654" s="11" t="s">
        <v>16</v>
      </c>
      <c r="F654" s="12" t="s">
        <v>1599</v>
      </c>
    </row>
    <row r="655" spans="1:6" ht="25.5">
      <c r="A655" s="10" t="str">
        <f>HYPERLINK(SUBSTITUTE(T(hl_0),"{0}","321332145749683"),hn_0)</f>
        <v>ОВ</v>
      </c>
      <c r="B655" s="9">
        <v>4723</v>
      </c>
      <c r="C655" s="11" t="s">
        <v>368</v>
      </c>
      <c r="D655" s="15" t="s">
        <v>1233</v>
      </c>
      <c r="E655" s="11" t="s">
        <v>16</v>
      </c>
      <c r="F655" s="12" t="s">
        <v>1599</v>
      </c>
    </row>
    <row r="656" spans="1:6" ht="25.5">
      <c r="A656" s="10" t="str">
        <f>HYPERLINK(SUBSTITUTE(T(hl_0),"{0}","326331507334994"),hn_0)</f>
        <v>ОВ</v>
      </c>
      <c r="B656" s="9">
        <v>6000</v>
      </c>
      <c r="C656" s="11" t="s">
        <v>368</v>
      </c>
      <c r="D656" s="15" t="s">
        <v>369</v>
      </c>
      <c r="E656" s="11" t="s">
        <v>258</v>
      </c>
      <c r="F656" s="12" t="s">
        <v>1599</v>
      </c>
    </row>
    <row r="657" spans="1:6" ht="12.75">
      <c r="A657" s="10" t="str">
        <f>HYPERLINK(SUBSTITUTE(T(hl_0),"{0}","328331650387594"),hn_0)</f>
        <v>ОВ</v>
      </c>
      <c r="B657" s="9">
        <v>5000</v>
      </c>
      <c r="C657" s="11" t="s">
        <v>368</v>
      </c>
      <c r="D657" s="15" t="s">
        <v>370</v>
      </c>
      <c r="E657" s="11" t="s">
        <v>61</v>
      </c>
      <c r="F657" s="11" t="s">
        <v>1599</v>
      </c>
    </row>
    <row r="658" spans="1:6" ht="12.75">
      <c r="A658" s="10" t="str">
        <f>HYPERLINK(SUBSTITUTE(T(hl_0),"{0}","328332026788116"),hn_0)</f>
        <v>ОВ</v>
      </c>
      <c r="B658" s="9">
        <v>4800</v>
      </c>
      <c r="C658" s="11" t="s">
        <v>368</v>
      </c>
      <c r="D658" s="15" t="s">
        <v>371</v>
      </c>
      <c r="E658" s="11" t="s">
        <v>61</v>
      </c>
      <c r="F658" s="11" t="s">
        <v>1599</v>
      </c>
    </row>
    <row r="659" spans="1:6" ht="38.25">
      <c r="A659" s="10" t="str">
        <f>HYPERLINK(SUBSTITUTE(T(hl_0),"{0}","331331727036335"),hn_0)</f>
        <v>ОВ</v>
      </c>
      <c r="B659" s="9">
        <v>5000</v>
      </c>
      <c r="C659" s="11" t="s">
        <v>368</v>
      </c>
      <c r="D659" s="15" t="s">
        <v>372</v>
      </c>
      <c r="E659" s="11" t="s">
        <v>38</v>
      </c>
      <c r="F659" s="11" t="s">
        <v>1599</v>
      </c>
    </row>
    <row r="660" spans="1:6" ht="38.25">
      <c r="A660" s="10" t="str">
        <f>HYPERLINK(SUBSTITUTE(T(hl_0),"{0}","331331725370147"),hn_0)</f>
        <v>ОВ</v>
      </c>
      <c r="B660" s="9">
        <v>6000</v>
      </c>
      <c r="C660" s="11" t="s">
        <v>368</v>
      </c>
      <c r="D660" s="15" t="s">
        <v>373</v>
      </c>
      <c r="E660" s="11" t="s">
        <v>38</v>
      </c>
      <c r="F660" s="11" t="s">
        <v>1599</v>
      </c>
    </row>
    <row r="661" spans="1:6" ht="38.25">
      <c r="A661" s="10" t="str">
        <f>HYPERLINK(SUBSTITUTE(T(hl_0),"{0}","331331725372897"),hn_0)</f>
        <v>ОВ</v>
      </c>
      <c r="B661" s="9">
        <v>6000</v>
      </c>
      <c r="C661" s="11" t="s">
        <v>368</v>
      </c>
      <c r="D661" s="15" t="s">
        <v>374</v>
      </c>
      <c r="E661" s="11" t="s">
        <v>38</v>
      </c>
      <c r="F661" s="11" t="s">
        <v>1599</v>
      </c>
    </row>
    <row r="662" spans="1:6" ht="38.25">
      <c r="A662" s="10" t="str">
        <f>HYPERLINK(SUBSTITUTE(T(hl_0),"{0}","331331725418083"),hn_0)</f>
        <v>ОВ</v>
      </c>
      <c r="B662" s="9">
        <v>6000</v>
      </c>
      <c r="C662" s="11" t="s">
        <v>368</v>
      </c>
      <c r="D662" s="15" t="s">
        <v>373</v>
      </c>
      <c r="E662" s="11" t="s">
        <v>38</v>
      </c>
      <c r="F662" s="11" t="s">
        <v>1599</v>
      </c>
    </row>
    <row r="663" spans="1:6" ht="38.25">
      <c r="A663" s="10" t="str">
        <f>HYPERLINK(SUBSTITUTE(T(hl_0),"{0}","331331725359650"),hn_0)</f>
        <v>ОВ</v>
      </c>
      <c r="B663" s="9">
        <v>6000</v>
      </c>
      <c r="C663" s="11" t="s">
        <v>368</v>
      </c>
      <c r="D663" s="15" t="s">
        <v>374</v>
      </c>
      <c r="E663" s="11" t="s">
        <v>38</v>
      </c>
      <c r="F663" s="11" t="s">
        <v>1599</v>
      </c>
    </row>
    <row r="664" spans="1:6" ht="38.25">
      <c r="A664" s="10" t="str">
        <f>HYPERLINK(SUBSTITUTE(T(hl_0),"{0}","335331793751932"),hn_0)</f>
        <v>ОВ</v>
      </c>
      <c r="B664" s="9">
        <v>5650</v>
      </c>
      <c r="C664" s="11" t="s">
        <v>368</v>
      </c>
      <c r="D664" s="15" t="s">
        <v>375</v>
      </c>
      <c r="E664" s="11" t="s">
        <v>233</v>
      </c>
      <c r="F664" s="11" t="s">
        <v>1599</v>
      </c>
    </row>
    <row r="665" spans="1:6" ht="12.75">
      <c r="A665" s="10" t="str">
        <f>HYPERLINK(SUBSTITUTE(T(hl_0),"{0}","900331792253929"),hn_0)</f>
        <v>ОВ</v>
      </c>
      <c r="B665" s="9">
        <v>4723</v>
      </c>
      <c r="C665" s="11" t="s">
        <v>368</v>
      </c>
      <c r="D665" s="15" t="s">
        <v>376</v>
      </c>
      <c r="E665" s="11" t="s">
        <v>38</v>
      </c>
      <c r="F665" s="12" t="s">
        <v>1599</v>
      </c>
    </row>
    <row r="666" spans="1:6" ht="12.75">
      <c r="A666" s="10" t="str">
        <f>HYPERLINK(SUBSTITUTE(T(hl_0),"{0}","319332024584010"),hn_0)</f>
        <v>ОВ</v>
      </c>
      <c r="B666" s="9">
        <v>5500</v>
      </c>
      <c r="C666" s="11" t="s">
        <v>377</v>
      </c>
      <c r="D666" s="15" t="s">
        <v>1234</v>
      </c>
      <c r="E666" s="11" t="s">
        <v>22</v>
      </c>
      <c r="F666" s="11" t="s">
        <v>1599</v>
      </c>
    </row>
    <row r="667" spans="1:6" ht="12.75">
      <c r="A667" s="10" t="str">
        <f>HYPERLINK(SUBSTITUTE(T(hl_0),"{0}","319332078121525"),hn_0)</f>
        <v>ОВ</v>
      </c>
      <c r="B667" s="9">
        <v>5668</v>
      </c>
      <c r="C667" s="11" t="s">
        <v>377</v>
      </c>
      <c r="D667" s="15" t="s">
        <v>1235</v>
      </c>
      <c r="E667" s="11" t="s">
        <v>22</v>
      </c>
      <c r="F667" s="11" t="s">
        <v>1599</v>
      </c>
    </row>
    <row r="668" spans="1:6" ht="51">
      <c r="A668" s="10" t="str">
        <f>HYPERLINK(SUBSTITUTE(T(hl_0),"{0}","320331673774331"),hn_0)</f>
        <v>ОВ</v>
      </c>
      <c r="B668" s="9">
        <v>5000</v>
      </c>
      <c r="C668" s="11" t="s">
        <v>377</v>
      </c>
      <c r="D668" s="15" t="s">
        <v>1236</v>
      </c>
      <c r="E668" s="11" t="s">
        <v>23</v>
      </c>
      <c r="F668" s="12" t="s">
        <v>1599</v>
      </c>
    </row>
    <row r="669" spans="1:6" ht="25.5">
      <c r="A669" s="10" t="str">
        <f>HYPERLINK(SUBSTITUTE(T(hl_0),"{0}","321331700646547"),hn_0)</f>
        <v>ОВ</v>
      </c>
      <c r="B669" s="9">
        <v>6500</v>
      </c>
      <c r="C669" s="11" t="s">
        <v>377</v>
      </c>
      <c r="D669" s="15" t="s">
        <v>1237</v>
      </c>
      <c r="E669" s="11" t="s">
        <v>20</v>
      </c>
      <c r="F669" s="12" t="s">
        <v>1599</v>
      </c>
    </row>
    <row r="670" spans="1:6" ht="12.75">
      <c r="A670" s="10" t="str">
        <f>HYPERLINK(SUBSTITUTE(T(hl_0),"{0}","322331558265443"),hn_0)</f>
        <v>ОВ</v>
      </c>
      <c r="B670" s="9">
        <v>5000</v>
      </c>
      <c r="C670" s="11" t="s">
        <v>377</v>
      </c>
      <c r="D670" s="15" t="s">
        <v>378</v>
      </c>
      <c r="E670" s="11" t="s">
        <v>379</v>
      </c>
      <c r="F670" s="12" t="s">
        <v>1599</v>
      </c>
    </row>
    <row r="671" spans="1:6" ht="25.5">
      <c r="A671" s="10" t="str">
        <f>HYPERLINK(SUBSTITUTE(T(hl_0),"{0}","322331534150212"),hn_0)</f>
        <v>ОВ</v>
      </c>
      <c r="B671" s="9">
        <v>5000</v>
      </c>
      <c r="C671" s="11" t="s">
        <v>377</v>
      </c>
      <c r="D671" s="15" t="s">
        <v>380</v>
      </c>
      <c r="E671" s="11" t="s">
        <v>381</v>
      </c>
      <c r="F671" s="12" t="s">
        <v>1599</v>
      </c>
    </row>
    <row r="672" spans="1:6" ht="25.5">
      <c r="A672" s="10" t="str">
        <f>HYPERLINK(SUBSTITUTE(T(hl_0),"{0}","324331794770510"),hn_0)</f>
        <v>ОВ</v>
      </c>
      <c r="B672" s="9">
        <v>5000</v>
      </c>
      <c r="C672" s="11" t="s">
        <v>377</v>
      </c>
      <c r="D672" s="15" t="s">
        <v>1238</v>
      </c>
      <c r="E672" s="11" t="s">
        <v>332</v>
      </c>
      <c r="F672" s="11" t="s">
        <v>1599</v>
      </c>
    </row>
    <row r="673" spans="1:6" ht="38.25">
      <c r="A673" s="10" t="str">
        <f>HYPERLINK(SUBSTITUTE(T(hl_0),"{0}","325331970062900"),hn_0)</f>
        <v>ОВ</v>
      </c>
      <c r="B673" s="9">
        <v>7500</v>
      </c>
      <c r="C673" s="11" t="s">
        <v>377</v>
      </c>
      <c r="D673" s="15" t="s">
        <v>382</v>
      </c>
      <c r="E673" s="11" t="s">
        <v>36</v>
      </c>
      <c r="F673" s="12" t="s">
        <v>1599</v>
      </c>
    </row>
    <row r="674" spans="1:6" ht="51">
      <c r="A674" s="10" t="str">
        <f>HYPERLINK(SUBSTITUTE(T(hl_0),"{0}","325331533211049"),hn_0)</f>
        <v>ОВ</v>
      </c>
      <c r="B674" s="9">
        <v>6100</v>
      </c>
      <c r="C674" s="11" t="s">
        <v>377</v>
      </c>
      <c r="D674" s="15" t="s">
        <v>1239</v>
      </c>
      <c r="E674" s="11" t="s">
        <v>36</v>
      </c>
      <c r="F674" s="12" t="s">
        <v>1599</v>
      </c>
    </row>
    <row r="675" spans="1:6" ht="25.5">
      <c r="A675" s="10" t="str">
        <f>HYPERLINK(SUBSTITUTE(T(hl_0),"{0}","325332251823876"),hn_0)</f>
        <v>ОВ</v>
      </c>
      <c r="B675" s="9">
        <v>6500</v>
      </c>
      <c r="C675" s="11" t="s">
        <v>377</v>
      </c>
      <c r="D675" s="15" t="s">
        <v>383</v>
      </c>
      <c r="E675" s="11" t="s">
        <v>36</v>
      </c>
      <c r="F675" s="12" t="s">
        <v>1599</v>
      </c>
    </row>
    <row r="676" spans="1:6" ht="12.75">
      <c r="A676" s="10" t="str">
        <f>HYPERLINK(SUBSTITUTE(T(hl_0),"{0}","325331872979386"),hn_0)</f>
        <v>ОВ</v>
      </c>
      <c r="B676" s="9">
        <v>6100</v>
      </c>
      <c r="C676" s="11" t="s">
        <v>377</v>
      </c>
      <c r="D676" s="15" t="s">
        <v>384</v>
      </c>
      <c r="E676" s="11" t="s">
        <v>36</v>
      </c>
      <c r="F676" s="12" t="s">
        <v>1599</v>
      </c>
    </row>
    <row r="677" spans="1:6" ht="38.25">
      <c r="A677" s="10" t="str">
        <f>HYPERLINK(SUBSTITUTE(T(hl_0),"{0}","326332197810395"),hn_0)</f>
        <v>ОВ</v>
      </c>
      <c r="B677" s="9">
        <v>5100</v>
      </c>
      <c r="C677" s="11" t="s">
        <v>377</v>
      </c>
      <c r="D677" s="15" t="s">
        <v>1240</v>
      </c>
      <c r="E677" s="11" t="s">
        <v>385</v>
      </c>
      <c r="F677" s="12" t="s">
        <v>1599</v>
      </c>
    </row>
    <row r="678" spans="1:6" ht="63.75">
      <c r="A678" s="10" t="str">
        <f>HYPERLINK(SUBSTITUTE(T(hl_0),"{0}","326331389998221"),hn_0)</f>
        <v>ОВ</v>
      </c>
      <c r="B678" s="9">
        <v>5500</v>
      </c>
      <c r="C678" s="11" t="s">
        <v>377</v>
      </c>
      <c r="D678" s="15" t="s">
        <v>1241</v>
      </c>
      <c r="E678" s="11" t="s">
        <v>258</v>
      </c>
      <c r="F678" s="12" t="s">
        <v>1599</v>
      </c>
    </row>
    <row r="679" spans="1:6" ht="63.75">
      <c r="A679" s="10" t="str">
        <f>HYPERLINK(SUBSTITUTE(T(hl_0),"{0}","326331366523807"),hn_0)</f>
        <v>ОВ</v>
      </c>
      <c r="B679" s="9">
        <v>5500</v>
      </c>
      <c r="C679" s="11" t="s">
        <v>377</v>
      </c>
      <c r="D679" s="15" t="s">
        <v>1242</v>
      </c>
      <c r="E679" s="11" t="s">
        <v>258</v>
      </c>
      <c r="F679" s="12" t="s">
        <v>1599</v>
      </c>
    </row>
    <row r="680" spans="1:6" ht="51">
      <c r="A680" s="10" t="str">
        <f>HYPERLINK(SUBSTITUTE(T(hl_0),"{0}","326332053792267"),hn_0)</f>
        <v>ОВ</v>
      </c>
      <c r="B680" s="9">
        <v>6500</v>
      </c>
      <c r="C680" s="11" t="s">
        <v>377</v>
      </c>
      <c r="D680" s="15" t="s">
        <v>1243</v>
      </c>
      <c r="E680" s="11" t="s">
        <v>386</v>
      </c>
      <c r="F680" s="12" t="s">
        <v>1599</v>
      </c>
    </row>
    <row r="681" spans="1:6" ht="38.25">
      <c r="A681" s="10" t="str">
        <f>HYPERLINK(SUBSTITUTE(T(hl_0),"{0}","326331900700532"),hn_0)</f>
        <v>ОВ</v>
      </c>
      <c r="B681" s="9">
        <v>4723</v>
      </c>
      <c r="C681" s="11" t="s">
        <v>377</v>
      </c>
      <c r="D681" s="15" t="s">
        <v>1244</v>
      </c>
      <c r="E681" s="11" t="s">
        <v>387</v>
      </c>
      <c r="F681" s="12" t="s">
        <v>1599</v>
      </c>
    </row>
    <row r="682" spans="1:6" ht="51">
      <c r="A682" s="10" t="str">
        <f>HYPERLINK(SUBSTITUTE(T(hl_0),"{0}","326331702700218"),hn_0)</f>
        <v>ОВ</v>
      </c>
      <c r="B682" s="9">
        <v>5450</v>
      </c>
      <c r="C682" s="11" t="s">
        <v>377</v>
      </c>
      <c r="D682" s="15" t="s">
        <v>1245</v>
      </c>
      <c r="E682" s="11" t="s">
        <v>388</v>
      </c>
      <c r="F682" s="12" t="s">
        <v>1599</v>
      </c>
    </row>
    <row r="683" spans="1:6" ht="51">
      <c r="A683" s="10" t="str">
        <f>HYPERLINK(SUBSTITUTE(T(hl_0),"{0}","326328501790894"),hn_0)</f>
        <v>ОВ</v>
      </c>
      <c r="B683" s="9">
        <v>8000</v>
      </c>
      <c r="C683" s="11" t="s">
        <v>377</v>
      </c>
      <c r="D683" s="15" t="s">
        <v>1246</v>
      </c>
      <c r="E683" s="11" t="s">
        <v>258</v>
      </c>
      <c r="F683" s="12" t="s">
        <v>1599</v>
      </c>
    </row>
    <row r="684" spans="1:6" ht="63.75">
      <c r="A684" s="10" t="str">
        <f>HYPERLINK(SUBSTITUTE(T(hl_0),"{0}","326328010713927"),hn_0)</f>
        <v>ОВ</v>
      </c>
      <c r="B684" s="9">
        <v>5500</v>
      </c>
      <c r="C684" s="11" t="s">
        <v>377</v>
      </c>
      <c r="D684" s="15" t="s">
        <v>1247</v>
      </c>
      <c r="E684" s="11" t="s">
        <v>389</v>
      </c>
      <c r="F684" s="12" t="s">
        <v>1599</v>
      </c>
    </row>
    <row r="685" spans="1:6" ht="12.75">
      <c r="A685" s="10" t="str">
        <f>HYPERLINK(SUBSTITUTE(T(hl_0),"{0}","328331818519668"),hn_0)</f>
        <v>ОВ</v>
      </c>
      <c r="B685" s="9">
        <v>5000</v>
      </c>
      <c r="C685" s="11" t="s">
        <v>377</v>
      </c>
      <c r="D685" s="15" t="s">
        <v>390</v>
      </c>
      <c r="E685" s="11" t="s">
        <v>61</v>
      </c>
      <c r="F685" s="11" t="s">
        <v>1599</v>
      </c>
    </row>
    <row r="686" spans="1:6" ht="25.5">
      <c r="A686" s="10" t="str">
        <f>HYPERLINK(SUBSTITUTE(T(hl_0),"{0}","330332196661072"),hn_0)</f>
        <v>ОВ</v>
      </c>
      <c r="B686" s="9">
        <v>9000</v>
      </c>
      <c r="C686" s="11" t="s">
        <v>377</v>
      </c>
      <c r="D686" s="15" t="s">
        <v>1248</v>
      </c>
      <c r="E686" s="11" t="s">
        <v>45</v>
      </c>
      <c r="F686" s="11" t="s">
        <v>1599</v>
      </c>
    </row>
    <row r="687" spans="1:6" ht="25.5">
      <c r="A687" s="10" t="str">
        <f>HYPERLINK(SUBSTITUTE(T(hl_0),"{0}","330332247534576"),hn_0)</f>
        <v>ОВ</v>
      </c>
      <c r="B687" s="9">
        <v>7000</v>
      </c>
      <c r="C687" s="11" t="s">
        <v>377</v>
      </c>
      <c r="D687" s="15" t="s">
        <v>1249</v>
      </c>
      <c r="E687" s="11" t="s">
        <v>28</v>
      </c>
      <c r="F687" s="11" t="s">
        <v>1599</v>
      </c>
    </row>
    <row r="688" spans="1:6" ht="38.25">
      <c r="A688" s="10" t="str">
        <f>HYPERLINK(SUBSTITUTE(T(hl_0),"{0}","330327135909141"),hn_0)</f>
        <v>ОВ</v>
      </c>
      <c r="B688" s="9">
        <v>4750</v>
      </c>
      <c r="C688" s="11" t="s">
        <v>377</v>
      </c>
      <c r="D688" s="15" t="s">
        <v>1250</v>
      </c>
      <c r="E688" s="11" t="s">
        <v>391</v>
      </c>
      <c r="F688" s="11" t="s">
        <v>1599</v>
      </c>
    </row>
    <row r="689" spans="1:6" ht="38.25">
      <c r="A689" s="10" t="str">
        <f>HYPERLINK(SUBSTITUTE(T(hl_0),"{0}","330330878887479"),hn_0)</f>
        <v>ОВ</v>
      </c>
      <c r="B689" s="9">
        <v>4723</v>
      </c>
      <c r="C689" s="11" t="s">
        <v>377</v>
      </c>
      <c r="D689" s="15" t="s">
        <v>1251</v>
      </c>
      <c r="E689" s="11" t="s">
        <v>392</v>
      </c>
      <c r="F689" s="11" t="s">
        <v>1599</v>
      </c>
    </row>
    <row r="690" spans="1:6" ht="12.75">
      <c r="A690" s="10" t="str">
        <f>HYPERLINK(SUBSTITUTE(T(hl_0),"{0}","331332053828065"),hn_0)</f>
        <v>ОВ</v>
      </c>
      <c r="B690" s="9">
        <v>6000</v>
      </c>
      <c r="C690" s="11" t="s">
        <v>377</v>
      </c>
      <c r="D690" s="15" t="s">
        <v>393</v>
      </c>
      <c r="E690" s="11" t="s">
        <v>38</v>
      </c>
      <c r="F690" s="11" t="s">
        <v>1599</v>
      </c>
    </row>
    <row r="691" spans="1:6" ht="12.75">
      <c r="A691" s="10" t="str">
        <f>HYPERLINK(SUBSTITUTE(T(hl_0),"{0}","332332171158910"),hn_0)</f>
        <v>ОВ</v>
      </c>
      <c r="B691" s="9">
        <v>5050</v>
      </c>
      <c r="C691" s="11" t="s">
        <v>377</v>
      </c>
      <c r="D691" s="15" t="s">
        <v>394</v>
      </c>
      <c r="E691" s="11" t="s">
        <v>14</v>
      </c>
      <c r="F691" s="11" t="s">
        <v>1599</v>
      </c>
    </row>
    <row r="692" spans="1:6" ht="12.75">
      <c r="A692" s="10" t="str">
        <f>HYPERLINK(SUBSTITUTE(T(hl_0),"{0}","332331995432237"),hn_0)</f>
        <v>ОВ</v>
      </c>
      <c r="B692" s="9">
        <v>5000</v>
      </c>
      <c r="C692" s="11" t="s">
        <v>377</v>
      </c>
      <c r="D692" s="15" t="s">
        <v>395</v>
      </c>
      <c r="E692" s="11" t="s">
        <v>396</v>
      </c>
      <c r="F692" s="11" t="s">
        <v>1599</v>
      </c>
    </row>
    <row r="693" spans="1:6" ht="12.75">
      <c r="A693" s="10" t="str">
        <f>HYPERLINK(SUBSTITUTE(T(hl_0),"{0}","332331995422113"),hn_0)</f>
        <v>ОВ</v>
      </c>
      <c r="B693" s="9">
        <v>5000</v>
      </c>
      <c r="C693" s="11" t="s">
        <v>377</v>
      </c>
      <c r="D693" s="15" t="s">
        <v>395</v>
      </c>
      <c r="E693" s="11" t="s">
        <v>14</v>
      </c>
      <c r="F693" s="11" t="s">
        <v>1599</v>
      </c>
    </row>
    <row r="694" spans="1:6" ht="12.75">
      <c r="A694" s="10" t="str">
        <f>HYPERLINK(SUBSTITUTE(T(hl_0),"{0}","332331969735013"),hn_0)</f>
        <v>ОВ</v>
      </c>
      <c r="B694" s="9">
        <v>4800</v>
      </c>
      <c r="C694" s="11" t="s">
        <v>377</v>
      </c>
      <c r="D694" s="15" t="s">
        <v>397</v>
      </c>
      <c r="E694" s="11" t="s">
        <v>14</v>
      </c>
      <c r="F694" s="11" t="s">
        <v>1599</v>
      </c>
    </row>
    <row r="695" spans="1:6" ht="12.75">
      <c r="A695" s="10" t="str">
        <f>HYPERLINK(SUBSTITUTE(T(hl_0),"{0}","332332251556429"),hn_0)</f>
        <v>ОВ</v>
      </c>
      <c r="B695" s="9">
        <v>7500</v>
      </c>
      <c r="C695" s="11" t="s">
        <v>377</v>
      </c>
      <c r="D695" s="15" t="s">
        <v>398</v>
      </c>
      <c r="E695" s="11" t="s">
        <v>14</v>
      </c>
      <c r="F695" s="11" t="s">
        <v>1599</v>
      </c>
    </row>
    <row r="696" spans="1:6" ht="25.5">
      <c r="A696" s="10" t="str">
        <f>HYPERLINK(SUBSTITUTE(T(hl_0),"{0}","332328297366196"),hn_0)</f>
        <v>ОВ</v>
      </c>
      <c r="B696" s="9">
        <v>6500</v>
      </c>
      <c r="C696" s="11" t="s">
        <v>377</v>
      </c>
      <c r="D696" s="15" t="s">
        <v>1252</v>
      </c>
      <c r="E696" s="11" t="s">
        <v>14</v>
      </c>
      <c r="F696" s="11" t="s">
        <v>1599</v>
      </c>
    </row>
    <row r="697" spans="1:6" ht="25.5">
      <c r="A697" s="10" t="str">
        <f>HYPERLINK(SUBSTITUTE(T(hl_0),"{0}","333331314742915"),hn_0)</f>
        <v>ОВ</v>
      </c>
      <c r="B697" s="9">
        <v>6000</v>
      </c>
      <c r="C697" s="11" t="s">
        <v>377</v>
      </c>
      <c r="D697" s="15" t="s">
        <v>399</v>
      </c>
      <c r="E697" s="11" t="s">
        <v>336</v>
      </c>
      <c r="F697" s="11" t="s">
        <v>1599</v>
      </c>
    </row>
    <row r="698" spans="1:6" ht="12.75">
      <c r="A698" s="10" t="str">
        <f>HYPERLINK(SUBSTITUTE(T(hl_0),"{0}","900331849358819"),hn_0)</f>
        <v>ОВ</v>
      </c>
      <c r="B698" s="9">
        <v>7000</v>
      </c>
      <c r="C698" s="11" t="s">
        <v>377</v>
      </c>
      <c r="D698" s="15" t="s">
        <v>400</v>
      </c>
      <c r="E698" s="11" t="s">
        <v>16</v>
      </c>
      <c r="F698" s="12" t="s">
        <v>1599</v>
      </c>
    </row>
    <row r="699" spans="1:6" ht="12.75">
      <c r="A699" s="10" t="str">
        <f>HYPERLINK(SUBSTITUTE(T(hl_0),"{0}","900332196980878"),hn_0)</f>
        <v>ОВ</v>
      </c>
      <c r="B699" s="9">
        <v>7000</v>
      </c>
      <c r="C699" s="11" t="s">
        <v>377</v>
      </c>
      <c r="D699" s="15" t="s">
        <v>401</v>
      </c>
      <c r="E699" s="11" t="s">
        <v>16</v>
      </c>
      <c r="F699" s="12" t="s">
        <v>1599</v>
      </c>
    </row>
    <row r="700" spans="1:6" ht="12.75">
      <c r="A700" s="10" t="str">
        <f>HYPERLINK(SUBSTITUTE(T(hl_0),"{0}","900332196960150"),hn_0)</f>
        <v>ОВ</v>
      </c>
      <c r="B700" s="9">
        <v>7000</v>
      </c>
      <c r="C700" s="11" t="s">
        <v>377</v>
      </c>
      <c r="D700" s="15" t="s">
        <v>401</v>
      </c>
      <c r="E700" s="11" t="s">
        <v>16</v>
      </c>
      <c r="F700" s="12" t="s">
        <v>1599</v>
      </c>
    </row>
    <row r="701" spans="1:6" ht="12.75">
      <c r="A701" s="10" t="str">
        <f>HYPERLINK(SUBSTITUTE(T(hl_0),"{0}","900332196980871"),hn_0)</f>
        <v>ОВ</v>
      </c>
      <c r="B701" s="9">
        <v>7000</v>
      </c>
      <c r="C701" s="11" t="s">
        <v>377</v>
      </c>
      <c r="D701" s="15" t="s">
        <v>401</v>
      </c>
      <c r="E701" s="11" t="s">
        <v>16</v>
      </c>
      <c r="F701" s="12" t="s">
        <v>1599</v>
      </c>
    </row>
    <row r="702" spans="1:6" ht="12.75">
      <c r="A702" s="10" t="str">
        <f>HYPERLINK(SUBSTITUTE(T(hl_0),"{0}","900331997516612"),hn_0)</f>
        <v>ОВ</v>
      </c>
      <c r="B702" s="9">
        <v>6500</v>
      </c>
      <c r="C702" s="11" t="s">
        <v>377</v>
      </c>
      <c r="D702" s="15" t="s">
        <v>402</v>
      </c>
      <c r="E702" s="11" t="s">
        <v>16</v>
      </c>
      <c r="F702" s="12" t="s">
        <v>1599</v>
      </c>
    </row>
    <row r="703" spans="1:6" ht="38.25">
      <c r="A703" s="10" t="str">
        <f>HYPERLINK(SUBSTITUTE(T(hl_0),"{0}","900327229397926"),hn_0)</f>
        <v>ОВ</v>
      </c>
      <c r="B703" s="9">
        <v>4740</v>
      </c>
      <c r="C703" s="11" t="s">
        <v>377</v>
      </c>
      <c r="D703" s="15" t="s">
        <v>403</v>
      </c>
      <c r="E703" s="11" t="s">
        <v>16</v>
      </c>
      <c r="F703" s="12" t="s">
        <v>1599</v>
      </c>
    </row>
    <row r="704" spans="1:6" ht="12.75">
      <c r="A704" s="10" t="str">
        <f>HYPERLINK(SUBSTITUTE(T(hl_0),"{0}","900331901482081"),hn_0)</f>
        <v>ОВ</v>
      </c>
      <c r="B704" s="9">
        <v>4800</v>
      </c>
      <c r="C704" s="11" t="s">
        <v>377</v>
      </c>
      <c r="D704" s="15" t="s">
        <v>404</v>
      </c>
      <c r="E704" s="11" t="s">
        <v>16</v>
      </c>
      <c r="F704" s="12" t="s">
        <v>1599</v>
      </c>
    </row>
    <row r="705" spans="1:6" ht="12.75">
      <c r="A705" s="10" t="str">
        <f>HYPERLINK(SUBSTITUTE(T(hl_0),"{0}","900331901519007"),hn_0)</f>
        <v>ОВ</v>
      </c>
      <c r="B705" s="9">
        <v>4800</v>
      </c>
      <c r="C705" s="11" t="s">
        <v>377</v>
      </c>
      <c r="D705" s="15" t="s">
        <v>404</v>
      </c>
      <c r="E705" s="11" t="s">
        <v>16</v>
      </c>
      <c r="F705" s="12" t="s">
        <v>1599</v>
      </c>
    </row>
    <row r="706" spans="1:6" ht="25.5">
      <c r="A706" s="10" t="str">
        <f>HYPERLINK(SUBSTITUTE(T(hl_0),"{0}","900327860559801"),hn_0)</f>
        <v>ОВ</v>
      </c>
      <c r="B706" s="9">
        <v>6500</v>
      </c>
      <c r="C706" s="11" t="s">
        <v>377</v>
      </c>
      <c r="D706" s="15" t="s">
        <v>405</v>
      </c>
      <c r="E706" s="11" t="s">
        <v>16</v>
      </c>
      <c r="F706" s="12" t="s">
        <v>1599</v>
      </c>
    </row>
    <row r="707" spans="1:6" ht="25.5">
      <c r="A707" s="10" t="str">
        <f>HYPERLINK(SUBSTITUTE(T(hl_0),"{0}","326330494914021"),hn_0)</f>
        <v>ОВ</v>
      </c>
      <c r="B707" s="9">
        <v>7000</v>
      </c>
      <c r="C707" s="11" t="s">
        <v>406</v>
      </c>
      <c r="D707" s="15" t="s">
        <v>1253</v>
      </c>
      <c r="E707" s="11" t="s">
        <v>407</v>
      </c>
      <c r="F707" s="12" t="s">
        <v>1599</v>
      </c>
    </row>
    <row r="708" spans="1:6" ht="25.5">
      <c r="A708" s="10" t="str">
        <f>HYPERLINK(SUBSTITUTE(T(hl_0),"{0}","321328346116514"),hn_0)</f>
        <v>ОВ</v>
      </c>
      <c r="B708" s="9">
        <v>8000</v>
      </c>
      <c r="C708" s="11" t="s">
        <v>408</v>
      </c>
      <c r="D708" s="15" t="s">
        <v>1254</v>
      </c>
      <c r="E708" s="11" t="s">
        <v>409</v>
      </c>
      <c r="F708" s="12" t="s">
        <v>1599</v>
      </c>
    </row>
    <row r="709" spans="1:6" ht="25.5">
      <c r="A709" s="10" t="str">
        <f>HYPERLINK(SUBSTITUTE(T(hl_0),"{0}","331330520601021"),hn_0)</f>
        <v>ОВ</v>
      </c>
      <c r="B709" s="9">
        <v>4723</v>
      </c>
      <c r="C709" s="11" t="s">
        <v>410</v>
      </c>
      <c r="D709" s="15" t="s">
        <v>411</v>
      </c>
      <c r="E709" s="11" t="s">
        <v>412</v>
      </c>
      <c r="F709" s="11" t="s">
        <v>1599</v>
      </c>
    </row>
    <row r="710" spans="1:6" ht="12.75">
      <c r="A710" s="10" t="str">
        <f>HYPERLINK(SUBSTITUTE(T(hl_0),"{0}","900331650002033"),hn_0)</f>
        <v>ОВ</v>
      </c>
      <c r="B710" s="9">
        <v>4723</v>
      </c>
      <c r="C710" s="11" t="s">
        <v>410</v>
      </c>
      <c r="D710" s="15" t="s">
        <v>413</v>
      </c>
      <c r="E710" s="11" t="s">
        <v>16</v>
      </c>
      <c r="F710" s="12" t="s">
        <v>1599</v>
      </c>
    </row>
    <row r="711" spans="1:6" ht="12.75">
      <c r="A711" s="10" t="str">
        <f>HYPERLINK(SUBSTITUTE(T(hl_0),"{0}","900331650002567"),hn_0)</f>
        <v>ОВ</v>
      </c>
      <c r="B711" s="9">
        <v>4723</v>
      </c>
      <c r="C711" s="11" t="s">
        <v>410</v>
      </c>
      <c r="D711" s="15" t="s">
        <v>413</v>
      </c>
      <c r="E711" s="11" t="s">
        <v>16</v>
      </c>
      <c r="F711" s="12" t="s">
        <v>1599</v>
      </c>
    </row>
    <row r="712" spans="1:6" ht="51">
      <c r="A712" s="10" t="str">
        <f>HYPERLINK(SUBSTITUTE(T(hl_0),"{0}","324331624806878"),hn_0)</f>
        <v>ОВ</v>
      </c>
      <c r="B712" s="9">
        <v>6300</v>
      </c>
      <c r="C712" s="11" t="s">
        <v>414</v>
      </c>
      <c r="D712" s="15" t="s">
        <v>1255</v>
      </c>
      <c r="E712" s="11" t="s">
        <v>332</v>
      </c>
      <c r="F712" s="11" t="s">
        <v>1599</v>
      </c>
    </row>
    <row r="713" spans="1:6" ht="51">
      <c r="A713" s="10" t="str">
        <f>HYPERLINK(SUBSTITUTE(T(hl_0),"{0}","324331624797970"),hn_0)</f>
        <v>ОВ</v>
      </c>
      <c r="B713" s="9">
        <v>6300</v>
      </c>
      <c r="C713" s="11" t="s">
        <v>414</v>
      </c>
      <c r="D713" s="15" t="s">
        <v>1255</v>
      </c>
      <c r="E713" s="11" t="s">
        <v>332</v>
      </c>
      <c r="F713" s="11" t="s">
        <v>1599</v>
      </c>
    </row>
    <row r="714" spans="1:6" ht="25.5">
      <c r="A714" s="10" t="str">
        <f>HYPERLINK(SUBSTITUTE(T(hl_0),"{0}","334328110547290"),hn_0)</f>
        <v>ОВ</v>
      </c>
      <c r="B714" s="9">
        <v>6000</v>
      </c>
      <c r="C714" s="11" t="s">
        <v>415</v>
      </c>
      <c r="D714" s="15" t="s">
        <v>1256</v>
      </c>
      <c r="E714" s="11" t="s">
        <v>261</v>
      </c>
      <c r="F714" s="11" t="s">
        <v>1599</v>
      </c>
    </row>
    <row r="715" spans="1:6" ht="12.75">
      <c r="A715" s="10" t="str">
        <f>HYPERLINK(SUBSTITUTE(T(hl_0),"{0}","900331560826399"),hn_0)</f>
        <v>ОВ</v>
      </c>
      <c r="B715" s="9">
        <v>8000</v>
      </c>
      <c r="C715" s="11" t="s">
        <v>416</v>
      </c>
      <c r="D715" s="15" t="s">
        <v>417</v>
      </c>
      <c r="E715" s="11" t="s">
        <v>16</v>
      </c>
      <c r="F715" s="12" t="s">
        <v>1599</v>
      </c>
    </row>
    <row r="716" spans="1:6" ht="25.5">
      <c r="A716" s="10" t="str">
        <f>HYPERLINK(SUBSTITUTE(T(hl_0),"{0}","900327746064082"),hn_0)</f>
        <v>ОВ</v>
      </c>
      <c r="B716" s="9">
        <v>8000</v>
      </c>
      <c r="C716" s="11" t="s">
        <v>418</v>
      </c>
      <c r="D716" s="15" t="s">
        <v>419</v>
      </c>
      <c r="E716" s="11" t="s">
        <v>16</v>
      </c>
      <c r="F716" s="12" t="s">
        <v>1599</v>
      </c>
    </row>
    <row r="717" spans="1:6" ht="25.5">
      <c r="A717" s="10" t="str">
        <f>HYPERLINK(SUBSTITUTE(T(hl_0),"{0}","319327340156655"),hn_0)</f>
        <v>ОВ</v>
      </c>
      <c r="B717" s="9">
        <v>7060</v>
      </c>
      <c r="C717" s="11" t="s">
        <v>420</v>
      </c>
      <c r="D717" s="15" t="s">
        <v>1257</v>
      </c>
      <c r="E717" s="11" t="s">
        <v>22</v>
      </c>
      <c r="F717" s="11" t="s">
        <v>1599</v>
      </c>
    </row>
    <row r="718" spans="1:6" ht="38.25">
      <c r="A718" s="10" t="str">
        <f>HYPERLINK(SUBSTITUTE(T(hl_0),"{0}","322331482036327"),hn_0)</f>
        <v>ОВ</v>
      </c>
      <c r="B718" s="9">
        <v>6000</v>
      </c>
      <c r="C718" s="11" t="s">
        <v>420</v>
      </c>
      <c r="D718" s="15" t="s">
        <v>421</v>
      </c>
      <c r="E718" s="11" t="s">
        <v>37</v>
      </c>
      <c r="F718" s="12" t="s">
        <v>1599</v>
      </c>
    </row>
    <row r="719" spans="1:6" ht="89.25">
      <c r="A719" s="10" t="str">
        <f>HYPERLINK(SUBSTITUTE(T(hl_0),"{0}","900331532794563"),hn_0)</f>
        <v>ОВ</v>
      </c>
      <c r="B719" s="9">
        <v>10000</v>
      </c>
      <c r="C719" s="11" t="s">
        <v>420</v>
      </c>
      <c r="D719" s="15" t="s">
        <v>422</v>
      </c>
      <c r="E719" s="11" t="s">
        <v>16</v>
      </c>
      <c r="F719" s="12" t="s">
        <v>1599</v>
      </c>
    </row>
    <row r="720" spans="1:6" ht="25.5">
      <c r="A720" s="10" t="str">
        <f>HYPERLINK(SUBSTITUTE(T(hl_0),"{0}","900332220172250"),hn_0)</f>
        <v>ОВ</v>
      </c>
      <c r="B720" s="9">
        <v>7193</v>
      </c>
      <c r="C720" s="11" t="s">
        <v>420</v>
      </c>
      <c r="D720" s="15" t="s">
        <v>423</v>
      </c>
      <c r="E720" s="11" t="s">
        <v>16</v>
      </c>
      <c r="F720" s="12" t="s">
        <v>1599</v>
      </c>
    </row>
    <row r="721" spans="1:6" ht="51">
      <c r="A721" s="10" t="str">
        <f>HYPERLINK(SUBSTITUTE(T(hl_0),"{0}","900331562621884"),hn_0)</f>
        <v>ОВ</v>
      </c>
      <c r="B721" s="9">
        <v>8577</v>
      </c>
      <c r="C721" s="11" t="s">
        <v>420</v>
      </c>
      <c r="D721" s="15" t="s">
        <v>424</v>
      </c>
      <c r="E721" s="11" t="s">
        <v>16</v>
      </c>
      <c r="F721" s="12" t="s">
        <v>1599</v>
      </c>
    </row>
    <row r="722" spans="1:6" ht="38.25">
      <c r="A722" s="10" t="str">
        <f>HYPERLINK(SUBSTITUTE(T(hl_0),"{0}","900325181360495"),hn_0)</f>
        <v>ОВ</v>
      </c>
      <c r="B722" s="9">
        <v>5500</v>
      </c>
      <c r="C722" s="11" t="s">
        <v>420</v>
      </c>
      <c r="D722" s="15" t="s">
        <v>1258</v>
      </c>
      <c r="E722" s="11" t="s">
        <v>16</v>
      </c>
      <c r="F722" s="12" t="s">
        <v>1599</v>
      </c>
    </row>
    <row r="723" spans="1:6" ht="51">
      <c r="A723" s="10" t="str">
        <f>HYPERLINK(SUBSTITUTE(T(hl_0),"{0}","324331725623401"),hn_0)</f>
        <v>ОВ</v>
      </c>
      <c r="B723" s="9">
        <v>5300</v>
      </c>
      <c r="C723" s="11" t="s">
        <v>425</v>
      </c>
      <c r="D723" s="15" t="s">
        <v>426</v>
      </c>
      <c r="E723" s="11" t="s">
        <v>427</v>
      </c>
      <c r="F723" s="11" t="s">
        <v>1599</v>
      </c>
    </row>
    <row r="724" spans="1:6" ht="38.25">
      <c r="A724" s="10" t="str">
        <f>HYPERLINK(SUBSTITUTE(T(hl_0),"{0}","327326346472501"),hn_0)</f>
        <v>ОВ</v>
      </c>
      <c r="B724" s="9">
        <v>8000</v>
      </c>
      <c r="C724" s="11" t="s">
        <v>428</v>
      </c>
      <c r="D724" s="15" t="s">
        <v>429</v>
      </c>
      <c r="E724" s="11" t="s">
        <v>42</v>
      </c>
      <c r="F724" s="12" t="s">
        <v>1599</v>
      </c>
    </row>
    <row r="725" spans="1:6" ht="63.75">
      <c r="A725" s="10" t="str">
        <f>HYPERLINK(SUBSTITUTE(T(hl_0),"{0}","332329115982322"),hn_0)</f>
        <v>ОВ</v>
      </c>
      <c r="B725" s="9">
        <v>6000</v>
      </c>
      <c r="C725" s="11" t="s">
        <v>430</v>
      </c>
      <c r="D725" s="15" t="s">
        <v>1259</v>
      </c>
      <c r="E725" s="11" t="s">
        <v>14</v>
      </c>
      <c r="F725" s="11" t="s">
        <v>1599</v>
      </c>
    </row>
    <row r="726" spans="1:6" ht="38.25">
      <c r="A726" s="10" t="str">
        <f>HYPERLINK(SUBSTITUTE(T(hl_0),"{0}","319330166252086"),hn_0)</f>
        <v>ОВ</v>
      </c>
      <c r="B726" s="9">
        <v>5600</v>
      </c>
      <c r="C726" s="11" t="s">
        <v>431</v>
      </c>
      <c r="D726" s="15" t="s">
        <v>432</v>
      </c>
      <c r="E726" s="11" t="s">
        <v>22</v>
      </c>
      <c r="F726" s="11" t="s">
        <v>1599</v>
      </c>
    </row>
    <row r="727" spans="1:6" ht="25.5">
      <c r="A727" s="10" t="str">
        <f>HYPERLINK(SUBSTITUTE(T(hl_0),"{0}","320327965437365"),hn_0)</f>
        <v>ОВ</v>
      </c>
      <c r="B727" s="9">
        <v>10000</v>
      </c>
      <c r="C727" s="11" t="s">
        <v>433</v>
      </c>
      <c r="D727" s="15" t="s">
        <v>1260</v>
      </c>
      <c r="E727" s="11" t="s">
        <v>23</v>
      </c>
      <c r="F727" s="12" t="s">
        <v>1599</v>
      </c>
    </row>
    <row r="728" spans="1:6" ht="38.25">
      <c r="A728" s="10" t="str">
        <f>HYPERLINK(SUBSTITUTE(T(hl_0),"{0}","900331562090082"),hn_0)</f>
        <v>ОВ</v>
      </c>
      <c r="B728" s="9">
        <v>12665</v>
      </c>
      <c r="C728" s="11" t="s">
        <v>433</v>
      </c>
      <c r="D728" s="15" t="s">
        <v>434</v>
      </c>
      <c r="E728" s="11" t="s">
        <v>16</v>
      </c>
      <c r="F728" s="12" t="s">
        <v>1599</v>
      </c>
    </row>
    <row r="729" spans="1:6" ht="38.25">
      <c r="A729" s="10" t="str">
        <f>HYPERLINK(SUBSTITUTE(T(hl_0),"{0}","900331562090089"),hn_0)</f>
        <v>ОВ</v>
      </c>
      <c r="B729" s="9">
        <v>12665</v>
      </c>
      <c r="C729" s="11" t="s">
        <v>433</v>
      </c>
      <c r="D729" s="15" t="s">
        <v>434</v>
      </c>
      <c r="E729" s="11" t="s">
        <v>16</v>
      </c>
      <c r="F729" s="12" t="s">
        <v>1599</v>
      </c>
    </row>
    <row r="730" spans="1:6" ht="38.25">
      <c r="A730" s="10" t="str">
        <f>HYPERLINK(SUBSTITUTE(T(hl_0),"{0}","900331562090096"),hn_0)</f>
        <v>ОВ</v>
      </c>
      <c r="B730" s="9">
        <v>12665</v>
      </c>
      <c r="C730" s="11" t="s">
        <v>433</v>
      </c>
      <c r="D730" s="15" t="s">
        <v>434</v>
      </c>
      <c r="E730" s="11" t="s">
        <v>16</v>
      </c>
      <c r="F730" s="12" t="s">
        <v>1599</v>
      </c>
    </row>
    <row r="731" spans="1:6" ht="25.5">
      <c r="A731" s="10" t="str">
        <f>HYPERLINK(SUBSTITUTE(T(hl_0),"{0}","900332146308938"),hn_0)</f>
        <v>ОВ</v>
      </c>
      <c r="B731" s="9">
        <v>8593</v>
      </c>
      <c r="C731" s="11" t="s">
        <v>433</v>
      </c>
      <c r="D731" s="15" t="s">
        <v>435</v>
      </c>
      <c r="E731" s="11" t="s">
        <v>16</v>
      </c>
      <c r="F731" s="12" t="s">
        <v>1599</v>
      </c>
    </row>
    <row r="732" spans="1:6" ht="38.25">
      <c r="A732" s="10" t="str">
        <f>HYPERLINK(SUBSTITUTE(T(hl_0),"{0}","900331900545537"),hn_0)</f>
        <v>ОВ</v>
      </c>
      <c r="B732" s="9">
        <v>6000</v>
      </c>
      <c r="C732" s="11" t="s">
        <v>433</v>
      </c>
      <c r="D732" s="15" t="s">
        <v>436</v>
      </c>
      <c r="E732" s="11" t="s">
        <v>16</v>
      </c>
      <c r="F732" s="12" t="s">
        <v>1599</v>
      </c>
    </row>
    <row r="733" spans="1:6" ht="25.5">
      <c r="A733" s="10" t="str">
        <f>HYPERLINK(SUBSTITUTE(T(hl_0),"{0}","319332224183477"),hn_0)</f>
        <v>ОВ</v>
      </c>
      <c r="B733" s="9">
        <v>5200</v>
      </c>
      <c r="C733" s="11" t="s">
        <v>437</v>
      </c>
      <c r="D733" s="15" t="s">
        <v>438</v>
      </c>
      <c r="E733" s="11" t="s">
        <v>22</v>
      </c>
      <c r="F733" s="11" t="s">
        <v>1599</v>
      </c>
    </row>
    <row r="734" spans="1:6" ht="25.5">
      <c r="A734" s="10" t="str">
        <f>HYPERLINK(SUBSTITUTE(T(hl_0),"{0}","900327184326549"),hn_0)</f>
        <v>ОВ</v>
      </c>
      <c r="B734" s="9">
        <v>6700</v>
      </c>
      <c r="C734" s="11" t="s">
        <v>439</v>
      </c>
      <c r="D734" s="15" t="s">
        <v>440</v>
      </c>
      <c r="E734" s="11" t="s">
        <v>16</v>
      </c>
      <c r="F734" s="12" t="s">
        <v>1599</v>
      </c>
    </row>
    <row r="735" spans="1:6" ht="25.5">
      <c r="A735" s="10" t="str">
        <f>HYPERLINK(SUBSTITUTE(T(hl_0),"{0}","900331900381749"),hn_0)</f>
        <v>ОВ</v>
      </c>
      <c r="B735" s="9">
        <v>6000</v>
      </c>
      <c r="C735" s="11" t="s">
        <v>439</v>
      </c>
      <c r="D735" s="15" t="s">
        <v>441</v>
      </c>
      <c r="E735" s="11" t="s">
        <v>16</v>
      </c>
      <c r="F735" s="12" t="s">
        <v>1599</v>
      </c>
    </row>
    <row r="736" spans="1:6" ht="25.5">
      <c r="A736" s="10" t="str">
        <f>HYPERLINK(SUBSTITUTE(T(hl_0),"{0}","900332146465207"),hn_0)</f>
        <v>ОВ</v>
      </c>
      <c r="B736" s="9">
        <v>7308</v>
      </c>
      <c r="C736" s="11" t="s">
        <v>439</v>
      </c>
      <c r="D736" s="15" t="s">
        <v>442</v>
      </c>
      <c r="E736" s="11" t="s">
        <v>45</v>
      </c>
      <c r="F736" s="12" t="s">
        <v>1599</v>
      </c>
    </row>
    <row r="737" spans="1:6" ht="25.5">
      <c r="A737" s="10" t="str">
        <f>HYPERLINK(SUBSTITUTE(T(hl_0),"{0}","900332146288389"),hn_0)</f>
        <v>ОВ</v>
      </c>
      <c r="B737" s="9">
        <v>7308</v>
      </c>
      <c r="C737" s="11" t="s">
        <v>439</v>
      </c>
      <c r="D737" s="15" t="s">
        <v>442</v>
      </c>
      <c r="E737" s="11" t="s">
        <v>16</v>
      </c>
      <c r="F737" s="12" t="s">
        <v>1599</v>
      </c>
    </row>
    <row r="738" spans="1:6" ht="38.25">
      <c r="A738" s="10" t="str">
        <f>HYPERLINK(SUBSTITUTE(T(hl_0),"{0}","900331562113054"),hn_0)</f>
        <v>ОВ</v>
      </c>
      <c r="B738" s="9">
        <v>9031</v>
      </c>
      <c r="C738" s="11" t="s">
        <v>443</v>
      </c>
      <c r="D738" s="15" t="s">
        <v>444</v>
      </c>
      <c r="E738" s="11" t="s">
        <v>16</v>
      </c>
      <c r="F738" s="12" t="s">
        <v>1599</v>
      </c>
    </row>
    <row r="739" spans="1:6" ht="25.5">
      <c r="A739" s="10" t="str">
        <f>HYPERLINK(SUBSTITUTE(T(hl_0),"{0}","900332146243913"),hn_0)</f>
        <v>ОВ</v>
      </c>
      <c r="B739" s="9">
        <v>6941.77</v>
      </c>
      <c r="C739" s="11" t="s">
        <v>443</v>
      </c>
      <c r="D739" s="15" t="s">
        <v>331</v>
      </c>
      <c r="E739" s="11" t="s">
        <v>261</v>
      </c>
      <c r="F739" s="12" t="s">
        <v>1599</v>
      </c>
    </row>
    <row r="740" spans="1:6" ht="25.5">
      <c r="A740" s="10" t="str">
        <f>HYPERLINK(SUBSTITUTE(T(hl_0),"{0}","900332146225803"),hn_0)</f>
        <v>ОВ</v>
      </c>
      <c r="B740" s="9">
        <v>6941.77</v>
      </c>
      <c r="C740" s="11" t="s">
        <v>443</v>
      </c>
      <c r="D740" s="15" t="s">
        <v>331</v>
      </c>
      <c r="E740" s="11" t="s">
        <v>258</v>
      </c>
      <c r="F740" s="12" t="s">
        <v>1599</v>
      </c>
    </row>
    <row r="741" spans="1:6" ht="25.5">
      <c r="A741" s="10" t="str">
        <f>HYPERLINK(SUBSTITUTE(T(hl_0),"{0}","900332145684696"),hn_0)</f>
        <v>ОВ</v>
      </c>
      <c r="B741" s="9">
        <v>6942.77</v>
      </c>
      <c r="C741" s="11" t="s">
        <v>443</v>
      </c>
      <c r="D741" s="15" t="s">
        <v>331</v>
      </c>
      <c r="E741" s="11" t="s">
        <v>336</v>
      </c>
      <c r="F741" s="12" t="s">
        <v>1599</v>
      </c>
    </row>
    <row r="742" spans="1:6" ht="25.5">
      <c r="A742" s="10" t="str">
        <f>HYPERLINK(SUBSTITUTE(T(hl_0),"{0}","900332146228894"),hn_0)</f>
        <v>ОВ</v>
      </c>
      <c r="B742" s="9">
        <v>6941.77</v>
      </c>
      <c r="C742" s="11" t="s">
        <v>443</v>
      </c>
      <c r="D742" s="15" t="s">
        <v>331</v>
      </c>
      <c r="E742" s="11" t="s">
        <v>44</v>
      </c>
      <c r="F742" s="12" t="s">
        <v>1599</v>
      </c>
    </row>
    <row r="743" spans="1:6" ht="25.5">
      <c r="A743" s="10" t="str">
        <f>HYPERLINK(SUBSTITUTE(T(hl_0),"{0}","900332146231149"),hn_0)</f>
        <v>ОВ</v>
      </c>
      <c r="B743" s="9">
        <v>6941.77</v>
      </c>
      <c r="C743" s="11" t="s">
        <v>443</v>
      </c>
      <c r="D743" s="15" t="s">
        <v>331</v>
      </c>
      <c r="E743" s="11" t="s">
        <v>45</v>
      </c>
      <c r="F743" s="12" t="s">
        <v>1599</v>
      </c>
    </row>
    <row r="744" spans="1:6" ht="25.5">
      <c r="A744" s="10" t="str">
        <f>HYPERLINK(SUBSTITUTE(T(hl_0),"{0}","900332146234629"),hn_0)</f>
        <v>ОВ</v>
      </c>
      <c r="B744" s="9">
        <v>6941.77</v>
      </c>
      <c r="C744" s="11" t="s">
        <v>443</v>
      </c>
      <c r="D744" s="15" t="s">
        <v>331</v>
      </c>
      <c r="E744" s="11" t="s">
        <v>38</v>
      </c>
      <c r="F744" s="12" t="s">
        <v>1599</v>
      </c>
    </row>
    <row r="745" spans="1:6" ht="25.5">
      <c r="A745" s="10" t="str">
        <f>HYPERLINK(SUBSTITUTE(T(hl_0),"{0}","900332146220946"),hn_0)</f>
        <v>ОВ</v>
      </c>
      <c r="B745" s="9">
        <v>6941.77</v>
      </c>
      <c r="C745" s="11" t="s">
        <v>443</v>
      </c>
      <c r="D745" s="15" t="s">
        <v>331</v>
      </c>
      <c r="E745" s="11" t="s">
        <v>36</v>
      </c>
      <c r="F745" s="12" t="s">
        <v>1599</v>
      </c>
    </row>
    <row r="746" spans="1:6" ht="38.25">
      <c r="A746" s="10" t="str">
        <f>HYPERLINK(SUBSTITUTE(T(hl_0),"{0}","900332146319251"),hn_0)</f>
        <v>ОВ</v>
      </c>
      <c r="B746" s="9">
        <v>6888</v>
      </c>
      <c r="C746" s="11" t="s">
        <v>445</v>
      </c>
      <c r="D746" s="15" t="s">
        <v>327</v>
      </c>
      <c r="E746" s="11" t="s">
        <v>16</v>
      </c>
      <c r="F746" s="12" t="s">
        <v>1599</v>
      </c>
    </row>
    <row r="747" spans="1:6" ht="38.25">
      <c r="A747" s="10" t="str">
        <f>HYPERLINK(SUBSTITUTE(T(hl_0),"{0}","900332146330596"),hn_0)</f>
        <v>ОВ</v>
      </c>
      <c r="B747" s="9">
        <v>6888</v>
      </c>
      <c r="C747" s="11" t="s">
        <v>445</v>
      </c>
      <c r="D747" s="15" t="s">
        <v>327</v>
      </c>
      <c r="E747" s="11" t="s">
        <v>16</v>
      </c>
      <c r="F747" s="12" t="s">
        <v>1599</v>
      </c>
    </row>
    <row r="748" spans="1:6" ht="25.5">
      <c r="A748" s="10" t="str">
        <f>HYPERLINK(SUBSTITUTE(T(hl_0),"{0}","319329091132667"),hn_0)</f>
        <v>ОВ</v>
      </c>
      <c r="B748" s="9">
        <v>5500</v>
      </c>
      <c r="C748" s="11" t="s">
        <v>446</v>
      </c>
      <c r="D748" s="15" t="s">
        <v>1261</v>
      </c>
      <c r="E748" s="11" t="s">
        <v>22</v>
      </c>
      <c r="F748" s="11" t="s">
        <v>1599</v>
      </c>
    </row>
    <row r="749" spans="1:6" ht="38.25">
      <c r="A749" s="10" t="str">
        <f>HYPERLINK(SUBSTITUTE(T(hl_0),"{0}","321326065653952"),hn_0)</f>
        <v>ОВ</v>
      </c>
      <c r="B749" s="9">
        <v>7000</v>
      </c>
      <c r="C749" s="11" t="s">
        <v>446</v>
      </c>
      <c r="D749" s="15" t="s">
        <v>1262</v>
      </c>
      <c r="E749" s="11" t="s">
        <v>20</v>
      </c>
      <c r="F749" s="12" t="s">
        <v>1599</v>
      </c>
    </row>
    <row r="750" spans="1:6" ht="76.5">
      <c r="A750" s="10" t="str">
        <f>HYPERLINK(SUBSTITUTE(T(hl_0),"{0}","321331970550859"),hn_0)</f>
        <v>ОВ</v>
      </c>
      <c r="B750" s="9">
        <v>10000</v>
      </c>
      <c r="C750" s="11" t="s">
        <v>446</v>
      </c>
      <c r="D750" s="15" t="s">
        <v>1263</v>
      </c>
      <c r="E750" s="11" t="s">
        <v>20</v>
      </c>
      <c r="F750" s="12" t="s">
        <v>1599</v>
      </c>
    </row>
    <row r="751" spans="1:6" ht="38.25">
      <c r="A751" s="10" t="str">
        <f>HYPERLINK(SUBSTITUTE(T(hl_0),"{0}","321331700737374"),hn_0)</f>
        <v>ОВ</v>
      </c>
      <c r="B751" s="9">
        <v>8000</v>
      </c>
      <c r="C751" s="11" t="s">
        <v>446</v>
      </c>
      <c r="D751" s="15" t="s">
        <v>1264</v>
      </c>
      <c r="E751" s="11" t="s">
        <v>20</v>
      </c>
      <c r="F751" s="12" t="s">
        <v>1599</v>
      </c>
    </row>
    <row r="752" spans="1:6" ht="38.25">
      <c r="A752" s="10" t="str">
        <f>HYPERLINK(SUBSTITUTE(T(hl_0),"{0}","321328500355507"),hn_0)</f>
        <v>ОВ</v>
      </c>
      <c r="B752" s="9">
        <v>8000</v>
      </c>
      <c r="C752" s="11" t="s">
        <v>446</v>
      </c>
      <c r="D752" s="15" t="s">
        <v>1265</v>
      </c>
      <c r="E752" s="11" t="s">
        <v>409</v>
      </c>
      <c r="F752" s="12" t="s">
        <v>1599</v>
      </c>
    </row>
    <row r="753" spans="1:6" ht="63.75">
      <c r="A753" s="10" t="str">
        <f>HYPERLINK(SUBSTITUTE(T(hl_0),"{0}","330331365604656"),hn_0)</f>
        <v>ОВ</v>
      </c>
      <c r="B753" s="9">
        <v>4723</v>
      </c>
      <c r="C753" s="11" t="s">
        <v>446</v>
      </c>
      <c r="D753" s="15" t="s">
        <v>1266</v>
      </c>
      <c r="E753" s="11" t="s">
        <v>447</v>
      </c>
      <c r="F753" s="11" t="s">
        <v>1599</v>
      </c>
    </row>
    <row r="754" spans="1:6" ht="63.75">
      <c r="A754" s="10" t="str">
        <f>HYPERLINK(SUBSTITUTE(T(hl_0),"{0}","330331365591125"),hn_0)</f>
        <v>ОВ</v>
      </c>
      <c r="B754" s="9">
        <v>4723</v>
      </c>
      <c r="C754" s="11" t="s">
        <v>446</v>
      </c>
      <c r="D754" s="15" t="s">
        <v>1267</v>
      </c>
      <c r="E754" s="11" t="s">
        <v>45</v>
      </c>
      <c r="F754" s="11" t="s">
        <v>1599</v>
      </c>
    </row>
    <row r="755" spans="1:6" ht="63.75">
      <c r="A755" s="10" t="str">
        <f>HYPERLINK(SUBSTITUTE(T(hl_0),"{0}","330331365568901"),hn_0)</f>
        <v>ОВ</v>
      </c>
      <c r="B755" s="9">
        <v>4723</v>
      </c>
      <c r="C755" s="11" t="s">
        <v>446</v>
      </c>
      <c r="D755" s="15" t="s">
        <v>1267</v>
      </c>
      <c r="E755" s="11" t="s">
        <v>45</v>
      </c>
      <c r="F755" s="11" t="s">
        <v>1599</v>
      </c>
    </row>
    <row r="756" spans="1:6" ht="63.75">
      <c r="A756" s="10" t="str">
        <f>HYPERLINK(SUBSTITUTE(T(hl_0),"{0}","330331365594781"),hn_0)</f>
        <v>ОВ</v>
      </c>
      <c r="B756" s="9">
        <v>4723</v>
      </c>
      <c r="C756" s="11" t="s">
        <v>446</v>
      </c>
      <c r="D756" s="15" t="s">
        <v>1266</v>
      </c>
      <c r="E756" s="11" t="s">
        <v>447</v>
      </c>
      <c r="F756" s="11" t="s">
        <v>1599</v>
      </c>
    </row>
    <row r="757" spans="1:6" ht="25.5">
      <c r="A757" s="10" t="str">
        <f>HYPERLINK(SUBSTITUTE(T(hl_0),"{0}","330327463702224"),hn_0)</f>
        <v>ОВ</v>
      </c>
      <c r="B757" s="9">
        <v>4723</v>
      </c>
      <c r="C757" s="11" t="s">
        <v>446</v>
      </c>
      <c r="D757" s="15" t="s">
        <v>1268</v>
      </c>
      <c r="E757" s="11" t="s">
        <v>45</v>
      </c>
      <c r="F757" s="11" t="s">
        <v>1599</v>
      </c>
    </row>
    <row r="758" spans="1:6" ht="51">
      <c r="A758" s="10" t="str">
        <f>HYPERLINK(SUBSTITUTE(T(hl_0),"{0}","332329165774402"),hn_0)</f>
        <v>ОВ</v>
      </c>
      <c r="B758" s="9">
        <v>6000</v>
      </c>
      <c r="C758" s="11" t="s">
        <v>446</v>
      </c>
      <c r="D758" s="15" t="s">
        <v>1269</v>
      </c>
      <c r="E758" s="11" t="s">
        <v>14</v>
      </c>
      <c r="F758" s="11" t="s">
        <v>1599</v>
      </c>
    </row>
    <row r="759" spans="1:6" ht="25.5">
      <c r="A759" s="10" t="str">
        <f>HYPERLINK(SUBSTITUTE(T(hl_0),"{0}","900331676048590"),hn_0)</f>
        <v>ОВ</v>
      </c>
      <c r="B759" s="9">
        <v>7000</v>
      </c>
      <c r="C759" s="11" t="s">
        <v>446</v>
      </c>
      <c r="D759" s="15" t="s">
        <v>448</v>
      </c>
      <c r="E759" s="11" t="s">
        <v>16</v>
      </c>
      <c r="F759" s="12" t="s">
        <v>1599</v>
      </c>
    </row>
    <row r="760" spans="1:6" ht="25.5">
      <c r="A760" s="10" t="str">
        <f>HYPERLINK(SUBSTITUTE(T(hl_0),"{0}","900327184319156"),hn_0)</f>
        <v>ОВ</v>
      </c>
      <c r="B760" s="9">
        <v>6700</v>
      </c>
      <c r="C760" s="11" t="s">
        <v>446</v>
      </c>
      <c r="D760" s="15" t="s">
        <v>440</v>
      </c>
      <c r="E760" s="11" t="s">
        <v>16</v>
      </c>
      <c r="F760" s="12" t="s">
        <v>1599</v>
      </c>
    </row>
    <row r="761" spans="1:6" ht="25.5">
      <c r="A761" s="10" t="str">
        <f>HYPERLINK(SUBSTITUTE(T(hl_0),"{0}","900327184323754"),hn_0)</f>
        <v>ОВ</v>
      </c>
      <c r="B761" s="9">
        <v>6700</v>
      </c>
      <c r="C761" s="11" t="s">
        <v>446</v>
      </c>
      <c r="D761" s="15" t="s">
        <v>440</v>
      </c>
      <c r="E761" s="11" t="s">
        <v>16</v>
      </c>
      <c r="F761" s="12" t="s">
        <v>1599</v>
      </c>
    </row>
    <row r="762" spans="1:6" ht="25.5">
      <c r="A762" s="10" t="str">
        <f>HYPERLINK(SUBSTITUTE(T(hl_0),"{0}","900332146159546"),hn_0)</f>
        <v>ОВ</v>
      </c>
      <c r="B762" s="9">
        <v>6313.32</v>
      </c>
      <c r="C762" s="11" t="s">
        <v>449</v>
      </c>
      <c r="D762" s="15" t="s">
        <v>450</v>
      </c>
      <c r="E762" s="11" t="s">
        <v>16</v>
      </c>
      <c r="F762" s="12" t="s">
        <v>1599</v>
      </c>
    </row>
    <row r="763" spans="1:6" ht="38.25">
      <c r="A763" s="10" t="str">
        <f>HYPERLINK(SUBSTITUTE(T(hl_0),"{0}","319331648493667"),hn_0)</f>
        <v>ОВ</v>
      </c>
      <c r="B763" s="9">
        <v>5500</v>
      </c>
      <c r="C763" s="11" t="s">
        <v>451</v>
      </c>
      <c r="D763" s="15" t="s">
        <v>1270</v>
      </c>
      <c r="E763" s="11" t="s">
        <v>22</v>
      </c>
      <c r="F763" s="11" t="s">
        <v>1599</v>
      </c>
    </row>
    <row r="764" spans="1:6" ht="38.25">
      <c r="A764" s="10" t="str">
        <f>HYPERLINK(SUBSTITUTE(T(hl_0),"{0}","319331648476014"),hn_0)</f>
        <v>ОВ</v>
      </c>
      <c r="B764" s="9">
        <v>5500</v>
      </c>
      <c r="C764" s="11" t="s">
        <v>451</v>
      </c>
      <c r="D764" s="15" t="s">
        <v>1271</v>
      </c>
      <c r="E764" s="11" t="s">
        <v>22</v>
      </c>
      <c r="F764" s="11" t="s">
        <v>1599</v>
      </c>
    </row>
    <row r="765" spans="1:6" ht="12.75">
      <c r="A765" s="10" t="str">
        <f>HYPERLINK(SUBSTITUTE(T(hl_0),"{0}","319330279993363"),hn_0)</f>
        <v>ОВ</v>
      </c>
      <c r="B765" s="9">
        <v>5042</v>
      </c>
      <c r="C765" s="11" t="s">
        <v>452</v>
      </c>
      <c r="D765" s="15" t="s">
        <v>1272</v>
      </c>
      <c r="E765" s="11" t="s">
        <v>22</v>
      </c>
      <c r="F765" s="11" t="s">
        <v>1599</v>
      </c>
    </row>
    <row r="766" spans="1:6" ht="63.75">
      <c r="A766" s="10" t="str">
        <f>HYPERLINK(SUBSTITUTE(T(hl_0),"{0}","900328476380343"),hn_0)</f>
        <v>ОВ</v>
      </c>
      <c r="B766" s="9">
        <v>4840</v>
      </c>
      <c r="C766" s="11" t="s">
        <v>452</v>
      </c>
      <c r="D766" s="15" t="s">
        <v>453</v>
      </c>
      <c r="E766" s="11" t="s">
        <v>454</v>
      </c>
      <c r="F766" s="12" t="s">
        <v>1599</v>
      </c>
    </row>
    <row r="767" spans="1:6" ht="63.75">
      <c r="A767" s="10" t="str">
        <f>HYPERLINK(SUBSTITUTE(T(hl_0),"{0}","900328475924025"),hn_0)</f>
        <v>ОВ</v>
      </c>
      <c r="B767" s="9">
        <v>4870</v>
      </c>
      <c r="C767" s="11" t="s">
        <v>452</v>
      </c>
      <c r="D767" s="15" t="s">
        <v>455</v>
      </c>
      <c r="E767" s="11" t="s">
        <v>456</v>
      </c>
      <c r="F767" s="12" t="s">
        <v>1599</v>
      </c>
    </row>
    <row r="768" spans="1:6" ht="63.75">
      <c r="A768" s="10" t="str">
        <f>HYPERLINK(SUBSTITUTE(T(hl_0),"{0}","900328137678395"),hn_0)</f>
        <v>ОВ</v>
      </c>
      <c r="B768" s="9">
        <v>4840</v>
      </c>
      <c r="C768" s="11" t="s">
        <v>452</v>
      </c>
      <c r="D768" s="15" t="s">
        <v>457</v>
      </c>
      <c r="E768" s="11" t="s">
        <v>454</v>
      </c>
      <c r="F768" s="12" t="s">
        <v>1599</v>
      </c>
    </row>
    <row r="769" spans="1:6" ht="25.5">
      <c r="A769" s="10" t="str">
        <f>HYPERLINK(SUBSTITUTE(T(hl_0),"{0}","321332221462701"),hn_0)</f>
        <v>ОВ</v>
      </c>
      <c r="B769" s="9">
        <v>6000</v>
      </c>
      <c r="C769" s="11" t="s">
        <v>458</v>
      </c>
      <c r="D769" s="15" t="s">
        <v>1273</v>
      </c>
      <c r="E769" s="11" t="s">
        <v>20</v>
      </c>
      <c r="F769" s="12" t="s">
        <v>1599</v>
      </c>
    </row>
    <row r="770" spans="1:6" ht="25.5">
      <c r="A770" s="10" t="str">
        <f>HYPERLINK(SUBSTITUTE(T(hl_0),"{0}","321328161234895"),hn_0)</f>
        <v>ОВ</v>
      </c>
      <c r="B770" s="9">
        <v>6000</v>
      </c>
      <c r="C770" s="11" t="s">
        <v>458</v>
      </c>
      <c r="D770" s="15" t="s">
        <v>1274</v>
      </c>
      <c r="E770" s="11" t="s">
        <v>20</v>
      </c>
      <c r="F770" s="12" t="s">
        <v>1599</v>
      </c>
    </row>
    <row r="771" spans="1:6" ht="25.5">
      <c r="A771" s="10" t="str">
        <f>HYPERLINK(SUBSTITUTE(T(hl_0),"{0}","320332023261311"),hn_0)</f>
        <v>ОВ</v>
      </c>
      <c r="B771" s="9">
        <v>6000</v>
      </c>
      <c r="C771" s="11" t="s">
        <v>459</v>
      </c>
      <c r="D771" s="15" t="s">
        <v>1275</v>
      </c>
      <c r="E771" s="11" t="s">
        <v>23</v>
      </c>
      <c r="F771" s="12" t="s">
        <v>1599</v>
      </c>
    </row>
    <row r="772" spans="1:6" ht="51">
      <c r="A772" s="10" t="str">
        <f>HYPERLINK(SUBSTITUTE(T(hl_0),"{0}","330331507132322"),hn_0)</f>
        <v>ОВ</v>
      </c>
      <c r="B772" s="9">
        <v>6000</v>
      </c>
      <c r="C772" s="11" t="s">
        <v>460</v>
      </c>
      <c r="D772" s="15" t="s">
        <v>1276</v>
      </c>
      <c r="E772" s="11" t="s">
        <v>28</v>
      </c>
      <c r="F772" s="11" t="s">
        <v>1599</v>
      </c>
    </row>
    <row r="773" spans="1:6" ht="51">
      <c r="A773" s="10" t="str">
        <f>HYPERLINK(SUBSTITUTE(T(hl_0),"{0}","330331507132285"),hn_0)</f>
        <v>ОВ</v>
      </c>
      <c r="B773" s="9">
        <v>6000</v>
      </c>
      <c r="C773" s="11" t="s">
        <v>460</v>
      </c>
      <c r="D773" s="15" t="s">
        <v>1276</v>
      </c>
      <c r="E773" s="11" t="s">
        <v>28</v>
      </c>
      <c r="F773" s="11" t="s">
        <v>1599</v>
      </c>
    </row>
    <row r="774" spans="1:6" ht="51">
      <c r="A774" s="10" t="str">
        <f>HYPERLINK(SUBSTITUTE(T(hl_0),"{0}","330331507044626"),hn_0)</f>
        <v>ОВ</v>
      </c>
      <c r="B774" s="9">
        <v>6000</v>
      </c>
      <c r="C774" s="11" t="s">
        <v>460</v>
      </c>
      <c r="D774" s="15" t="s">
        <v>1276</v>
      </c>
      <c r="E774" s="11" t="s">
        <v>28</v>
      </c>
      <c r="F774" s="11" t="s">
        <v>1599</v>
      </c>
    </row>
    <row r="775" spans="1:6" ht="51">
      <c r="A775" s="10" t="str">
        <f>HYPERLINK(SUBSTITUTE(T(hl_0),"{0}","330331507132235"),hn_0)</f>
        <v>ОВ</v>
      </c>
      <c r="B775" s="9">
        <v>6000</v>
      </c>
      <c r="C775" s="11" t="s">
        <v>460</v>
      </c>
      <c r="D775" s="15" t="s">
        <v>1276</v>
      </c>
      <c r="E775" s="11" t="s">
        <v>28</v>
      </c>
      <c r="F775" s="11" t="s">
        <v>1599</v>
      </c>
    </row>
    <row r="776" spans="1:6" ht="51">
      <c r="A776" s="10" t="str">
        <f>HYPERLINK(SUBSTITUTE(T(hl_0),"{0}","330331507132277"),hn_0)</f>
        <v>ОВ</v>
      </c>
      <c r="B776" s="9">
        <v>6000</v>
      </c>
      <c r="C776" s="11" t="s">
        <v>460</v>
      </c>
      <c r="D776" s="15" t="s">
        <v>1276</v>
      </c>
      <c r="E776" s="11" t="s">
        <v>28</v>
      </c>
      <c r="F776" s="11" t="s">
        <v>1599</v>
      </c>
    </row>
    <row r="777" spans="1:6" ht="51">
      <c r="A777" s="10" t="str">
        <f>HYPERLINK(SUBSTITUTE(T(hl_0),"{0}","330331507132314"),hn_0)</f>
        <v>ОВ</v>
      </c>
      <c r="B777" s="9">
        <v>6000</v>
      </c>
      <c r="C777" s="11" t="s">
        <v>460</v>
      </c>
      <c r="D777" s="15" t="s">
        <v>1276</v>
      </c>
      <c r="E777" s="11" t="s">
        <v>28</v>
      </c>
      <c r="F777" s="11" t="s">
        <v>1599</v>
      </c>
    </row>
    <row r="778" spans="1:6" ht="51">
      <c r="A778" s="10" t="str">
        <f>HYPERLINK(SUBSTITUTE(T(hl_0),"{0}","330331507132248"),hn_0)</f>
        <v>ОВ</v>
      </c>
      <c r="B778" s="9">
        <v>6000</v>
      </c>
      <c r="C778" s="11" t="s">
        <v>460</v>
      </c>
      <c r="D778" s="15" t="s">
        <v>1276</v>
      </c>
      <c r="E778" s="11" t="s">
        <v>28</v>
      </c>
      <c r="F778" s="11" t="s">
        <v>1599</v>
      </c>
    </row>
    <row r="779" spans="1:6" ht="51">
      <c r="A779" s="10" t="str">
        <f>HYPERLINK(SUBSTITUTE(T(hl_0),"{0}","330331507132295"),hn_0)</f>
        <v>ОВ</v>
      </c>
      <c r="B779" s="9">
        <v>6000</v>
      </c>
      <c r="C779" s="11" t="s">
        <v>460</v>
      </c>
      <c r="D779" s="15" t="s">
        <v>1276</v>
      </c>
      <c r="E779" s="11" t="s">
        <v>28</v>
      </c>
      <c r="F779" s="11" t="s">
        <v>1599</v>
      </c>
    </row>
    <row r="780" spans="1:6" ht="12.75">
      <c r="A780" s="10" t="str">
        <f>HYPERLINK(SUBSTITUTE(T(hl_0),"{0}","329331791252705"),hn_0)</f>
        <v>ОВ</v>
      </c>
      <c r="B780" s="9">
        <v>7000</v>
      </c>
      <c r="C780" s="11" t="s">
        <v>461</v>
      </c>
      <c r="D780" s="15" t="s">
        <v>462</v>
      </c>
      <c r="E780" s="11" t="s">
        <v>44</v>
      </c>
      <c r="F780" s="11" t="s">
        <v>1599</v>
      </c>
    </row>
    <row r="781" spans="1:6" ht="12.75">
      <c r="A781" s="10" t="str">
        <f>HYPERLINK(SUBSTITUTE(T(hl_0),"{0}","900331901505611"),hn_0)</f>
        <v>ОВ</v>
      </c>
      <c r="B781" s="9">
        <v>5000</v>
      </c>
      <c r="C781" s="11" t="s">
        <v>461</v>
      </c>
      <c r="D781" s="15" t="s">
        <v>463</v>
      </c>
      <c r="E781" s="11" t="s">
        <v>16</v>
      </c>
      <c r="F781" s="12" t="s">
        <v>1599</v>
      </c>
    </row>
    <row r="782" spans="1:6" ht="12.75">
      <c r="A782" s="10" t="str">
        <f>HYPERLINK(SUBSTITUTE(T(hl_0),"{0}","900330547760399"),hn_0)</f>
        <v>ОВ</v>
      </c>
      <c r="B782" s="9">
        <v>4723</v>
      </c>
      <c r="C782" s="11" t="s">
        <v>461</v>
      </c>
      <c r="D782" s="15" t="s">
        <v>464</v>
      </c>
      <c r="E782" s="11" t="s">
        <v>465</v>
      </c>
      <c r="F782" s="12" t="s">
        <v>1599</v>
      </c>
    </row>
    <row r="783" spans="1:6" ht="89.25">
      <c r="A783" s="10" t="str">
        <f>HYPERLINK(SUBSTITUTE(T(hl_0),"{0}","900328476112428"),hn_0)</f>
        <v>ОВ</v>
      </c>
      <c r="B783" s="9">
        <v>4835</v>
      </c>
      <c r="C783" s="11" t="s">
        <v>461</v>
      </c>
      <c r="D783" s="15" t="s">
        <v>466</v>
      </c>
      <c r="E783" s="11" t="s">
        <v>242</v>
      </c>
      <c r="F783" s="12" t="s">
        <v>1599</v>
      </c>
    </row>
    <row r="784" spans="1:6" ht="89.25">
      <c r="A784" s="10" t="str">
        <f>HYPERLINK(SUBSTITUTE(T(hl_0),"{0}","900328476145974"),hn_0)</f>
        <v>ОВ</v>
      </c>
      <c r="B784" s="9">
        <v>4835</v>
      </c>
      <c r="C784" s="11" t="s">
        <v>461</v>
      </c>
      <c r="D784" s="15" t="s">
        <v>466</v>
      </c>
      <c r="E784" s="11" t="s">
        <v>242</v>
      </c>
      <c r="F784" s="12" t="s">
        <v>1599</v>
      </c>
    </row>
    <row r="785" spans="1:6" ht="12.75">
      <c r="A785" s="10" t="str">
        <f>HYPERLINK(SUBSTITUTE(T(hl_0),"{0}","900332029015599"),hn_0)</f>
        <v>ОВ</v>
      </c>
      <c r="B785" s="9">
        <v>4723</v>
      </c>
      <c r="C785" s="11" t="s">
        <v>461</v>
      </c>
      <c r="D785" s="15" t="s">
        <v>467</v>
      </c>
      <c r="E785" s="11" t="s">
        <v>16</v>
      </c>
      <c r="F785" s="12" t="s">
        <v>1599</v>
      </c>
    </row>
    <row r="786" spans="1:6" ht="12.75">
      <c r="A786" s="10" t="str">
        <f>HYPERLINK(SUBSTITUTE(T(hl_0),"{0}","319330166165014"),hn_0)</f>
        <v>ОВ</v>
      </c>
      <c r="B786" s="9">
        <v>6500</v>
      </c>
      <c r="C786" s="11" t="s">
        <v>468</v>
      </c>
      <c r="D786" s="15" t="s">
        <v>1278</v>
      </c>
      <c r="E786" s="11" t="s">
        <v>22</v>
      </c>
      <c r="F786" s="11" t="s">
        <v>1599</v>
      </c>
    </row>
    <row r="787" spans="1:6" ht="38.25">
      <c r="A787" s="10" t="str">
        <f>HYPERLINK(SUBSTITUTE(T(hl_0),"{0}","320330191187600"),hn_0)</f>
        <v>ОВ</v>
      </c>
      <c r="B787" s="9">
        <v>5800</v>
      </c>
      <c r="C787" s="11" t="s">
        <v>469</v>
      </c>
      <c r="D787" s="15" t="s">
        <v>1277</v>
      </c>
      <c r="E787" s="11" t="s">
        <v>23</v>
      </c>
      <c r="F787" s="12" t="s">
        <v>1599</v>
      </c>
    </row>
    <row r="788" spans="1:6" ht="12.75">
      <c r="A788" s="10" t="str">
        <f>HYPERLINK(SUBSTITUTE(T(hl_0),"{0}","319327465912524"),hn_0)</f>
        <v>ОВ</v>
      </c>
      <c r="B788" s="9">
        <v>10000</v>
      </c>
      <c r="C788" s="11" t="s">
        <v>470</v>
      </c>
      <c r="D788" s="15" t="s">
        <v>1279</v>
      </c>
      <c r="E788" s="11" t="s">
        <v>22</v>
      </c>
      <c r="F788" s="11" t="s">
        <v>1599</v>
      </c>
    </row>
    <row r="789" spans="1:6" ht="25.5">
      <c r="A789" s="10" t="str">
        <f>HYPERLINK(SUBSTITUTE(T(hl_0),"{0}","321330360892988"),hn_0)</f>
        <v>ОВ</v>
      </c>
      <c r="B789" s="9">
        <v>5319</v>
      </c>
      <c r="C789" s="11" t="s">
        <v>470</v>
      </c>
      <c r="D789" s="15" t="s">
        <v>1280</v>
      </c>
      <c r="E789" s="11" t="s">
        <v>20</v>
      </c>
      <c r="F789" s="12" t="s">
        <v>1599</v>
      </c>
    </row>
    <row r="790" spans="1:6" ht="25.5">
      <c r="A790" s="10" t="str">
        <f>HYPERLINK(SUBSTITUTE(T(hl_0),"{0}","321327940626876"),hn_0)</f>
        <v>ОВ</v>
      </c>
      <c r="B790" s="9">
        <v>7000</v>
      </c>
      <c r="C790" s="11" t="s">
        <v>470</v>
      </c>
      <c r="D790" s="15" t="s">
        <v>1281</v>
      </c>
      <c r="E790" s="11" t="s">
        <v>20</v>
      </c>
      <c r="F790" s="12" t="s">
        <v>1599</v>
      </c>
    </row>
    <row r="791" spans="1:6" ht="25.5">
      <c r="A791" s="10" t="str">
        <f>HYPERLINK(SUBSTITUTE(T(hl_0),"{0}","330331390426750"),hn_0)</f>
        <v>ОВ</v>
      </c>
      <c r="B791" s="9">
        <v>8000</v>
      </c>
      <c r="C791" s="11" t="s">
        <v>470</v>
      </c>
      <c r="D791" s="15" t="s">
        <v>1282</v>
      </c>
      <c r="E791" s="11" t="s">
        <v>45</v>
      </c>
      <c r="F791" s="11" t="s">
        <v>1599</v>
      </c>
    </row>
    <row r="792" spans="1:6" ht="25.5">
      <c r="A792" s="10" t="str">
        <f>HYPERLINK(SUBSTITUTE(T(hl_0),"{0}","330328246730339"),hn_0)</f>
        <v>ОВ</v>
      </c>
      <c r="B792" s="9">
        <v>8800</v>
      </c>
      <c r="C792" s="11" t="s">
        <v>470</v>
      </c>
      <c r="D792" s="15" t="s">
        <v>1283</v>
      </c>
      <c r="E792" s="11" t="s">
        <v>45</v>
      </c>
      <c r="F792" s="11" t="s">
        <v>1599</v>
      </c>
    </row>
    <row r="793" spans="1:6" ht="12.75">
      <c r="A793" s="10" t="str">
        <f>HYPERLINK(SUBSTITUTE(T(hl_0),"{0}","900331900305017"),hn_0)</f>
        <v>ОВ</v>
      </c>
      <c r="B793" s="9">
        <v>7000</v>
      </c>
      <c r="C793" s="11" t="s">
        <v>470</v>
      </c>
      <c r="D793" s="15" t="s">
        <v>471</v>
      </c>
      <c r="E793" s="11" t="s">
        <v>16</v>
      </c>
      <c r="F793" s="12" t="s">
        <v>1599</v>
      </c>
    </row>
    <row r="794" spans="1:6" ht="25.5">
      <c r="A794" s="10" t="str">
        <f>HYPERLINK(SUBSTITUTE(T(hl_0),"{0}","900330970368141"),hn_0)</f>
        <v>ОВ</v>
      </c>
      <c r="B794" s="9">
        <v>7000</v>
      </c>
      <c r="C794" s="11" t="s">
        <v>470</v>
      </c>
      <c r="D794" s="15" t="s">
        <v>472</v>
      </c>
      <c r="E794" s="11" t="s">
        <v>473</v>
      </c>
      <c r="F794" s="12" t="s">
        <v>1599</v>
      </c>
    </row>
    <row r="795" spans="1:6" ht="12.75">
      <c r="A795" s="10" t="str">
        <f>HYPERLINK(SUBSTITUTE(T(hl_0),"{0}","900329938964979"),hn_0)</f>
        <v>ОВ</v>
      </c>
      <c r="B795" s="9">
        <v>10000</v>
      </c>
      <c r="C795" s="11" t="s">
        <v>470</v>
      </c>
      <c r="D795" s="15" t="s">
        <v>474</v>
      </c>
      <c r="E795" s="11" t="s">
        <v>16</v>
      </c>
      <c r="F795" s="12" t="s">
        <v>1599</v>
      </c>
    </row>
    <row r="796" spans="1:6" ht="12.75">
      <c r="A796" s="10" t="str">
        <f>HYPERLINK(SUBSTITUTE(T(hl_0),"{0}","319327465905232"),hn_0)</f>
        <v>ОВ</v>
      </c>
      <c r="B796" s="9">
        <v>11000</v>
      </c>
      <c r="C796" s="11" t="s">
        <v>475</v>
      </c>
      <c r="D796" s="15" t="s">
        <v>1284</v>
      </c>
      <c r="E796" s="11" t="s">
        <v>22</v>
      </c>
      <c r="F796" s="11" t="s">
        <v>1599</v>
      </c>
    </row>
    <row r="797" spans="1:6" ht="51">
      <c r="A797" s="10" t="str">
        <f>HYPERLINK(SUBSTITUTE(T(hl_0),"{0}","332327338395573"),hn_0)</f>
        <v>ОВ</v>
      </c>
      <c r="B797" s="9">
        <v>6200</v>
      </c>
      <c r="C797" s="11" t="s">
        <v>475</v>
      </c>
      <c r="D797" s="15" t="s">
        <v>476</v>
      </c>
      <c r="E797" s="11" t="s">
        <v>14</v>
      </c>
      <c r="F797" s="11" t="s">
        <v>1599</v>
      </c>
    </row>
    <row r="798" spans="1:6" ht="12.75">
      <c r="A798" s="10" t="str">
        <f>HYPERLINK(SUBSTITUTE(T(hl_0),"{0}","900331337221110"),hn_0)</f>
        <v>ОВ</v>
      </c>
      <c r="B798" s="9">
        <v>9000</v>
      </c>
      <c r="C798" s="11" t="s">
        <v>475</v>
      </c>
      <c r="D798" s="15" t="s">
        <v>477</v>
      </c>
      <c r="E798" s="11" t="s">
        <v>16</v>
      </c>
      <c r="F798" s="12" t="s">
        <v>1599</v>
      </c>
    </row>
    <row r="799" spans="1:6" ht="25.5">
      <c r="A799" s="10" t="str">
        <f>HYPERLINK(SUBSTITUTE(T(hl_0),"{0}","332331533458425"),hn_0)</f>
        <v>ОВ</v>
      </c>
      <c r="B799" s="9">
        <v>4800</v>
      </c>
      <c r="C799" s="11" t="s">
        <v>478</v>
      </c>
      <c r="D799" s="15" t="s">
        <v>1288</v>
      </c>
      <c r="E799" s="11" t="s">
        <v>14</v>
      </c>
      <c r="F799" s="11" t="s">
        <v>1599</v>
      </c>
    </row>
    <row r="800" spans="1:6" ht="12.75">
      <c r="A800" s="10" t="str">
        <f>HYPERLINK(SUBSTITUTE(T(hl_0),"{0}","319331675651414"),hn_0)</f>
        <v>ОВ</v>
      </c>
      <c r="B800" s="9">
        <v>5668</v>
      </c>
      <c r="C800" s="11" t="s">
        <v>479</v>
      </c>
      <c r="D800" s="15" t="s">
        <v>1285</v>
      </c>
      <c r="E800" s="11" t="s">
        <v>22</v>
      </c>
      <c r="F800" s="11" t="s">
        <v>1599</v>
      </c>
    </row>
    <row r="801" spans="1:6" ht="12.75">
      <c r="A801" s="10" t="str">
        <f>HYPERLINK(SUBSTITUTE(T(hl_0),"{0}","319331674496987"),hn_0)</f>
        <v>ОВ</v>
      </c>
      <c r="B801" s="9">
        <v>5500</v>
      </c>
      <c r="C801" s="11" t="s">
        <v>479</v>
      </c>
      <c r="D801" s="15" t="s">
        <v>1286</v>
      </c>
      <c r="E801" s="11" t="s">
        <v>22</v>
      </c>
      <c r="F801" s="11" t="s">
        <v>1599</v>
      </c>
    </row>
    <row r="802" spans="1:6" ht="38.25">
      <c r="A802" s="10" t="str">
        <f>HYPERLINK(SUBSTITUTE(T(hl_0),"{0}","320329993351343"),hn_0)</f>
        <v>ОВ</v>
      </c>
      <c r="B802" s="9">
        <v>4800</v>
      </c>
      <c r="C802" s="11" t="s">
        <v>479</v>
      </c>
      <c r="D802" s="15" t="s">
        <v>1287</v>
      </c>
      <c r="E802" s="11" t="s">
        <v>23</v>
      </c>
      <c r="F802" s="12" t="s">
        <v>1599</v>
      </c>
    </row>
    <row r="803" spans="1:6" ht="38.25">
      <c r="A803" s="10" t="str">
        <f>HYPERLINK(SUBSTITUTE(T(hl_0),"{0}","320329993351383"),hn_0)</f>
        <v>ОВ</v>
      </c>
      <c r="B803" s="9">
        <v>4800</v>
      </c>
      <c r="C803" s="11" t="s">
        <v>479</v>
      </c>
      <c r="D803" s="15" t="s">
        <v>1287</v>
      </c>
      <c r="E803" s="11" t="s">
        <v>23</v>
      </c>
      <c r="F803" s="12" t="s">
        <v>1599</v>
      </c>
    </row>
    <row r="804" spans="1:6" ht="25.5">
      <c r="A804" s="10" t="str">
        <f>HYPERLINK(SUBSTITUTE(T(hl_0),"{0}","325327916776068"),hn_0)</f>
        <v>ОВ</v>
      </c>
      <c r="B804" s="9">
        <v>13000</v>
      </c>
      <c r="C804" s="11" t="s">
        <v>479</v>
      </c>
      <c r="D804" s="15" t="s">
        <v>480</v>
      </c>
      <c r="E804" s="11" t="s">
        <v>36</v>
      </c>
      <c r="F804" s="12" t="s">
        <v>1599</v>
      </c>
    </row>
    <row r="805" spans="1:6" ht="12.75">
      <c r="A805" s="10" t="str">
        <f>HYPERLINK(SUBSTITUTE(T(hl_0),"{0}","327328111022036"),hn_0)</f>
        <v>ОВ</v>
      </c>
      <c r="B805" s="9">
        <v>5100</v>
      </c>
      <c r="C805" s="11" t="s">
        <v>479</v>
      </c>
      <c r="D805" s="15" t="s">
        <v>481</v>
      </c>
      <c r="E805" s="11" t="s">
        <v>42</v>
      </c>
      <c r="F805" s="12" t="s">
        <v>1599</v>
      </c>
    </row>
    <row r="806" spans="1:6" ht="12.75">
      <c r="A806" s="10" t="str">
        <f>HYPERLINK(SUBSTITUTE(T(hl_0),"{0}","327328111020043"),hn_0)</f>
        <v>ОВ</v>
      </c>
      <c r="B806" s="9">
        <v>5100</v>
      </c>
      <c r="C806" s="11" t="s">
        <v>479</v>
      </c>
      <c r="D806" s="15" t="s">
        <v>481</v>
      </c>
      <c r="E806" s="11" t="s">
        <v>16</v>
      </c>
      <c r="F806" s="12" t="s">
        <v>1599</v>
      </c>
    </row>
    <row r="807" spans="1:6" ht="12.75">
      <c r="A807" s="10" t="str">
        <f>HYPERLINK(SUBSTITUTE(T(hl_0),"{0}","900331562631378"),hn_0)</f>
        <v>ОВ</v>
      </c>
      <c r="B807" s="9">
        <v>7916</v>
      </c>
      <c r="C807" s="11" t="s">
        <v>479</v>
      </c>
      <c r="D807" s="15" t="s">
        <v>482</v>
      </c>
      <c r="E807" s="11" t="s">
        <v>16</v>
      </c>
      <c r="F807" s="12" t="s">
        <v>1599</v>
      </c>
    </row>
    <row r="808" spans="1:6" ht="12.75">
      <c r="A808" s="10" t="str">
        <f>HYPERLINK(SUBSTITUTE(T(hl_0),"{0}","900332145655865"),hn_0)</f>
        <v>ОВ</v>
      </c>
      <c r="B808" s="9">
        <v>10000</v>
      </c>
      <c r="C808" s="11" t="s">
        <v>479</v>
      </c>
      <c r="D808" s="15" t="s">
        <v>483</v>
      </c>
      <c r="E808" s="11" t="s">
        <v>16</v>
      </c>
      <c r="F808" s="12" t="s">
        <v>1599</v>
      </c>
    </row>
    <row r="809" spans="1:6" ht="63.75">
      <c r="A809" s="10" t="str">
        <f>HYPERLINK(SUBSTITUTE(T(hl_0),"{0}","900331675902660"),hn_0)</f>
        <v>ОВ</v>
      </c>
      <c r="B809" s="9">
        <v>15000</v>
      </c>
      <c r="C809" s="11" t="s">
        <v>479</v>
      </c>
      <c r="D809" s="15" t="s">
        <v>484</v>
      </c>
      <c r="E809" s="11" t="s">
        <v>16</v>
      </c>
      <c r="F809" s="12" t="s">
        <v>1599</v>
      </c>
    </row>
    <row r="810" spans="1:6" ht="12.75">
      <c r="A810" s="10" t="str">
        <f>HYPERLINK(SUBSTITUTE(T(hl_0),"{0}","900332145541216"),hn_0)</f>
        <v>ОВ</v>
      </c>
      <c r="B810" s="9">
        <v>10000</v>
      </c>
      <c r="C810" s="11" t="s">
        <v>479</v>
      </c>
      <c r="D810" s="15" t="s">
        <v>483</v>
      </c>
      <c r="E810" s="11" t="s">
        <v>16</v>
      </c>
      <c r="F810" s="12" t="s">
        <v>1599</v>
      </c>
    </row>
    <row r="811" spans="1:6" ht="38.25">
      <c r="A811" s="10" t="str">
        <f>HYPERLINK(SUBSTITUTE(T(hl_0),"{0}","900325181166675"),hn_0)</f>
        <v>ОВ</v>
      </c>
      <c r="B811" s="9">
        <v>5500</v>
      </c>
      <c r="C811" s="11" t="s">
        <v>479</v>
      </c>
      <c r="D811" s="15" t="s">
        <v>1289</v>
      </c>
      <c r="E811" s="11" t="s">
        <v>16</v>
      </c>
      <c r="F811" s="12" t="s">
        <v>1599</v>
      </c>
    </row>
    <row r="812" spans="1:6" ht="25.5">
      <c r="A812" s="10" t="str">
        <f>HYPERLINK(SUBSTITUTE(T(hl_0),"{0}","900328087063160"),hn_0)</f>
        <v>ОВ</v>
      </c>
      <c r="B812" s="9">
        <v>10000</v>
      </c>
      <c r="C812" s="11" t="s">
        <v>479</v>
      </c>
      <c r="D812" s="15" t="s">
        <v>485</v>
      </c>
      <c r="E812" s="11" t="s">
        <v>16</v>
      </c>
      <c r="F812" s="12" t="s">
        <v>1599</v>
      </c>
    </row>
    <row r="813" spans="1:6" ht="25.5">
      <c r="A813" s="10" t="str">
        <f>HYPERLINK(SUBSTITUTE(T(hl_0),"{0}","900328087026946"),hn_0)</f>
        <v>ОВ</v>
      </c>
      <c r="B813" s="9">
        <v>10000</v>
      </c>
      <c r="C813" s="11" t="s">
        <v>479</v>
      </c>
      <c r="D813" s="15" t="s">
        <v>485</v>
      </c>
      <c r="E813" s="11" t="s">
        <v>16</v>
      </c>
      <c r="F813" s="12" t="s">
        <v>1599</v>
      </c>
    </row>
    <row r="814" spans="1:6" ht="25.5">
      <c r="A814" s="10" t="str">
        <f>HYPERLINK(SUBSTITUTE(T(hl_0),"{0}","900327920276161"),hn_0)</f>
        <v>ОВ</v>
      </c>
      <c r="B814" s="9">
        <v>5500</v>
      </c>
      <c r="C814" s="11" t="s">
        <v>479</v>
      </c>
      <c r="D814" s="15" t="s">
        <v>486</v>
      </c>
      <c r="E814" s="11" t="s">
        <v>16</v>
      </c>
      <c r="F814" s="12" t="s">
        <v>1599</v>
      </c>
    </row>
    <row r="815" spans="1:6" ht="12.75">
      <c r="A815" s="10" t="str">
        <f>HYPERLINK(SUBSTITUTE(T(hl_0),"{0}","900332147908724"),hn_0)</f>
        <v>ОВ</v>
      </c>
      <c r="B815" s="9">
        <v>10000</v>
      </c>
      <c r="C815" s="11" t="s">
        <v>487</v>
      </c>
      <c r="D815" s="15" t="s">
        <v>488</v>
      </c>
      <c r="E815" s="11" t="s">
        <v>16</v>
      </c>
      <c r="F815" s="12" t="s">
        <v>1599</v>
      </c>
    </row>
    <row r="816" spans="1:6" ht="12.75">
      <c r="A816" s="10" t="str">
        <f>HYPERLINK(SUBSTITUTE(T(hl_0),"{0}","900332147907677"),hn_0)</f>
        <v>ОВ</v>
      </c>
      <c r="B816" s="9">
        <v>10000</v>
      </c>
      <c r="C816" s="11" t="s">
        <v>487</v>
      </c>
      <c r="D816" s="15" t="s">
        <v>488</v>
      </c>
      <c r="E816" s="11" t="s">
        <v>16</v>
      </c>
      <c r="F816" s="12" t="s">
        <v>1599</v>
      </c>
    </row>
    <row r="817" spans="1:6" ht="25.5">
      <c r="A817" s="10" t="str">
        <f>HYPERLINK(SUBSTITUTE(T(hl_0),"{0}","320331701622531"),hn_0)</f>
        <v>ОВ</v>
      </c>
      <c r="B817" s="9">
        <v>4723</v>
      </c>
      <c r="C817" s="11" t="s">
        <v>489</v>
      </c>
      <c r="D817" s="15" t="s">
        <v>1290</v>
      </c>
      <c r="E817" s="11" t="s">
        <v>23</v>
      </c>
      <c r="F817" s="12" t="s">
        <v>1599</v>
      </c>
    </row>
    <row r="818" spans="1:6" ht="25.5">
      <c r="A818" s="10" t="str">
        <f>HYPERLINK(SUBSTITUTE(T(hl_0),"{0}","320331701625344"),hn_0)</f>
        <v>ОВ</v>
      </c>
      <c r="B818" s="9">
        <v>4723</v>
      </c>
      <c r="C818" s="11" t="s">
        <v>489</v>
      </c>
      <c r="D818" s="15" t="s">
        <v>1290</v>
      </c>
      <c r="E818" s="11" t="s">
        <v>23</v>
      </c>
      <c r="F818" s="12" t="s">
        <v>1599</v>
      </c>
    </row>
    <row r="819" spans="1:6" ht="25.5">
      <c r="A819" s="10" t="str">
        <f>HYPERLINK(SUBSTITUTE(T(hl_0),"{0}","320331701625338"),hn_0)</f>
        <v>ОВ</v>
      </c>
      <c r="B819" s="9">
        <v>4723</v>
      </c>
      <c r="C819" s="11" t="s">
        <v>489</v>
      </c>
      <c r="D819" s="15" t="s">
        <v>1290</v>
      </c>
      <c r="E819" s="11" t="s">
        <v>23</v>
      </c>
      <c r="F819" s="12" t="s">
        <v>1599</v>
      </c>
    </row>
    <row r="820" spans="1:6" ht="25.5">
      <c r="A820" s="10" t="str">
        <f>HYPERLINK(SUBSTITUTE(T(hl_0),"{0}","322332198314175"),hn_0)</f>
        <v>ОВ</v>
      </c>
      <c r="B820" s="9">
        <v>4723</v>
      </c>
      <c r="C820" s="11" t="s">
        <v>489</v>
      </c>
      <c r="D820" s="15" t="s">
        <v>490</v>
      </c>
      <c r="E820" s="11" t="s">
        <v>37</v>
      </c>
      <c r="F820" s="12" t="s">
        <v>1599</v>
      </c>
    </row>
    <row r="821" spans="1:6" ht="25.5">
      <c r="A821" s="10" t="str">
        <f>HYPERLINK(SUBSTITUTE(T(hl_0),"{0}","329332197754379"),hn_0)</f>
        <v>ОВ</v>
      </c>
      <c r="B821" s="9">
        <v>5500</v>
      </c>
      <c r="C821" s="11" t="s">
        <v>489</v>
      </c>
      <c r="D821" s="15" t="s">
        <v>491</v>
      </c>
      <c r="E821" s="11" t="s">
        <v>44</v>
      </c>
      <c r="F821" s="11" t="s">
        <v>1599</v>
      </c>
    </row>
    <row r="822" spans="1:6" ht="25.5">
      <c r="A822" s="10" t="str">
        <f>HYPERLINK(SUBSTITUTE(T(hl_0),"{0}","900331341167844"),hn_0)</f>
        <v>ОВ</v>
      </c>
      <c r="B822" s="9">
        <v>4723</v>
      </c>
      <c r="C822" s="11" t="s">
        <v>489</v>
      </c>
      <c r="D822" s="15" t="s">
        <v>492</v>
      </c>
      <c r="E822" s="11" t="s">
        <v>16</v>
      </c>
      <c r="F822" s="12" t="s">
        <v>1599</v>
      </c>
    </row>
    <row r="823" spans="1:6" ht="25.5">
      <c r="A823" s="10" t="str">
        <f>HYPERLINK(SUBSTITUTE(T(hl_0),"{0}","900331341149585"),hn_0)</f>
        <v>ОВ</v>
      </c>
      <c r="B823" s="9">
        <v>4723</v>
      </c>
      <c r="C823" s="11" t="s">
        <v>489</v>
      </c>
      <c r="D823" s="15" t="s">
        <v>492</v>
      </c>
      <c r="E823" s="11" t="s">
        <v>16</v>
      </c>
      <c r="F823" s="12" t="s">
        <v>1599</v>
      </c>
    </row>
    <row r="824" spans="1:6" ht="25.5">
      <c r="A824" s="10" t="str">
        <f>HYPERLINK(SUBSTITUTE(T(hl_0),"{0}","900331341152544"),hn_0)</f>
        <v>ОВ</v>
      </c>
      <c r="B824" s="9">
        <v>4723</v>
      </c>
      <c r="C824" s="11" t="s">
        <v>489</v>
      </c>
      <c r="D824" s="15" t="s">
        <v>493</v>
      </c>
      <c r="E824" s="11" t="s">
        <v>16</v>
      </c>
      <c r="F824" s="12" t="s">
        <v>1599</v>
      </c>
    </row>
    <row r="825" spans="1:6" ht="25.5">
      <c r="A825" s="10" t="str">
        <f>HYPERLINK(SUBSTITUTE(T(hl_0),"{0}","319332224260437"),hn_0)</f>
        <v>ОВ</v>
      </c>
      <c r="B825" s="9">
        <v>5100</v>
      </c>
      <c r="C825" s="11" t="s">
        <v>494</v>
      </c>
      <c r="D825" s="15" t="s">
        <v>1291</v>
      </c>
      <c r="E825" s="11" t="s">
        <v>22</v>
      </c>
      <c r="F825" s="11" t="s">
        <v>1599</v>
      </c>
    </row>
    <row r="826" spans="1:6" ht="25.5">
      <c r="A826" s="10" t="str">
        <f>HYPERLINK(SUBSTITUTE(T(hl_0),"{0}","319331674256035"),hn_0)</f>
        <v>ОВ</v>
      </c>
      <c r="B826" s="9">
        <v>5500</v>
      </c>
      <c r="C826" s="11" t="s">
        <v>494</v>
      </c>
      <c r="D826" s="15" t="s">
        <v>1292</v>
      </c>
      <c r="E826" s="11" t="s">
        <v>22</v>
      </c>
      <c r="F826" s="11" t="s">
        <v>1599</v>
      </c>
    </row>
    <row r="827" spans="1:6" ht="25.5">
      <c r="A827" s="10" t="str">
        <f>HYPERLINK(SUBSTITUTE(T(hl_0),"{0}","319332224285260"),hn_0)</f>
        <v>ОВ</v>
      </c>
      <c r="B827" s="9">
        <v>5100</v>
      </c>
      <c r="C827" s="11" t="s">
        <v>494</v>
      </c>
      <c r="D827" s="15" t="s">
        <v>1291</v>
      </c>
      <c r="E827" s="11" t="s">
        <v>22</v>
      </c>
      <c r="F827" s="11" t="s">
        <v>1599</v>
      </c>
    </row>
    <row r="828" spans="1:6" ht="25.5">
      <c r="A828" s="10" t="str">
        <f>HYPERLINK(SUBSTITUTE(T(hl_0),"{0}","319331675671011"),hn_0)</f>
        <v>ОВ</v>
      </c>
      <c r="B828" s="9">
        <v>5668</v>
      </c>
      <c r="C828" s="11" t="s">
        <v>494</v>
      </c>
      <c r="D828" s="15" t="s">
        <v>1293</v>
      </c>
      <c r="E828" s="11" t="s">
        <v>22</v>
      </c>
      <c r="F828" s="11" t="s">
        <v>1599</v>
      </c>
    </row>
    <row r="829" spans="1:6" ht="25.5">
      <c r="A829" s="10" t="str">
        <f>HYPERLINK(SUBSTITUTE(T(hl_0),"{0}","321330190399709"),hn_0)</f>
        <v>ОВ</v>
      </c>
      <c r="B829" s="9">
        <v>7000</v>
      </c>
      <c r="C829" s="11" t="s">
        <v>495</v>
      </c>
      <c r="D829" s="15" t="s">
        <v>1294</v>
      </c>
      <c r="E829" s="11" t="s">
        <v>409</v>
      </c>
      <c r="F829" s="12" t="s">
        <v>1599</v>
      </c>
    </row>
    <row r="830" spans="1:6" ht="25.5">
      <c r="A830" s="10" t="str">
        <f>HYPERLINK(SUBSTITUTE(T(hl_0),"{0}","321330190399703"),hn_0)</f>
        <v>ОВ</v>
      </c>
      <c r="B830" s="9">
        <v>7000</v>
      </c>
      <c r="C830" s="11" t="s">
        <v>495</v>
      </c>
      <c r="D830" s="15" t="s">
        <v>1294</v>
      </c>
      <c r="E830" s="11" t="s">
        <v>409</v>
      </c>
      <c r="F830" s="12" t="s">
        <v>1599</v>
      </c>
    </row>
    <row r="831" spans="1:6" ht="25.5">
      <c r="A831" s="10" t="str">
        <f>HYPERLINK(SUBSTITUTE(T(hl_0),"{0}","321330190398137"),hn_0)</f>
        <v>ОВ</v>
      </c>
      <c r="B831" s="9">
        <v>7000</v>
      </c>
      <c r="C831" s="11" t="s">
        <v>495</v>
      </c>
      <c r="D831" s="15" t="s">
        <v>1294</v>
      </c>
      <c r="E831" s="11" t="s">
        <v>409</v>
      </c>
      <c r="F831" s="12" t="s">
        <v>1599</v>
      </c>
    </row>
    <row r="832" spans="1:6" ht="25.5">
      <c r="A832" s="10" t="str">
        <f>HYPERLINK(SUBSTITUTE(T(hl_0),"{0}","900331848705748"),hn_0)</f>
        <v>ОВ</v>
      </c>
      <c r="B832" s="9">
        <v>10000</v>
      </c>
      <c r="C832" s="11" t="s">
        <v>496</v>
      </c>
      <c r="D832" s="15" t="s">
        <v>497</v>
      </c>
      <c r="E832" s="11" t="s">
        <v>16</v>
      </c>
      <c r="F832" s="12" t="s">
        <v>1599</v>
      </c>
    </row>
    <row r="833" spans="1:6" ht="12.75">
      <c r="A833" s="10" t="str">
        <f>HYPERLINK(SUBSTITUTE(T(hl_0),"{0}","324329965500865"),hn_0)</f>
        <v>ОВ</v>
      </c>
      <c r="B833" s="9">
        <v>5800</v>
      </c>
      <c r="C833" s="11" t="s">
        <v>498</v>
      </c>
      <c r="D833" s="15" t="s">
        <v>499</v>
      </c>
      <c r="E833" s="11" t="s">
        <v>500</v>
      </c>
      <c r="F833" s="11" t="s">
        <v>1599</v>
      </c>
    </row>
    <row r="834" spans="1:6" ht="25.5">
      <c r="A834" s="10" t="str">
        <f>HYPERLINK(SUBSTITUTE(T(hl_0),"{0}","900324353879488"),hn_0)</f>
        <v>ОВ</v>
      </c>
      <c r="B834" s="9">
        <v>7000</v>
      </c>
      <c r="C834" s="11" t="s">
        <v>498</v>
      </c>
      <c r="D834" s="15" t="s">
        <v>1295</v>
      </c>
      <c r="E834" s="11" t="s">
        <v>16</v>
      </c>
      <c r="F834" s="12" t="s">
        <v>1599</v>
      </c>
    </row>
    <row r="835" spans="1:6" ht="12.75">
      <c r="A835" s="10" t="str">
        <f>HYPERLINK(SUBSTITUTE(T(hl_0),"{0}","322332224261442"),hn_0)</f>
        <v>ОВ</v>
      </c>
      <c r="B835" s="9">
        <v>7000</v>
      </c>
      <c r="C835" s="11" t="s">
        <v>501</v>
      </c>
      <c r="D835" s="15" t="s">
        <v>502</v>
      </c>
      <c r="E835" s="11" t="s">
        <v>379</v>
      </c>
      <c r="F835" s="12" t="s">
        <v>1599</v>
      </c>
    </row>
    <row r="836" spans="1:6" ht="25.5">
      <c r="A836" s="10" t="str">
        <f>HYPERLINK(SUBSTITUTE(T(hl_0),"{0}","900328161020635"),hn_0)</f>
        <v>ОВ</v>
      </c>
      <c r="B836" s="9">
        <v>7000</v>
      </c>
      <c r="C836" s="11" t="s">
        <v>503</v>
      </c>
      <c r="D836" s="15" t="s">
        <v>504</v>
      </c>
      <c r="E836" s="11" t="s">
        <v>16</v>
      </c>
      <c r="F836" s="12" t="s">
        <v>1599</v>
      </c>
    </row>
    <row r="837" spans="1:6" ht="25.5">
      <c r="A837" s="10" t="str">
        <f>HYPERLINK(SUBSTITUTE(T(hl_0),"{0}","900327074783591"),hn_0)</f>
        <v>ОВ</v>
      </c>
      <c r="B837" s="9">
        <v>8000</v>
      </c>
      <c r="C837" s="11" t="s">
        <v>505</v>
      </c>
      <c r="D837" s="15" t="s">
        <v>506</v>
      </c>
      <c r="E837" s="11" t="s">
        <v>16</v>
      </c>
      <c r="F837" s="12" t="s">
        <v>1599</v>
      </c>
    </row>
    <row r="838" spans="1:6" ht="38.25">
      <c r="A838" s="10" t="str">
        <f>HYPERLINK(SUBSTITUTE(T(hl_0),"{0}","900331558496871"),hn_0)</f>
        <v>ОВ</v>
      </c>
      <c r="B838" s="9">
        <v>10000</v>
      </c>
      <c r="C838" s="11" t="s">
        <v>507</v>
      </c>
      <c r="D838" s="15" t="s">
        <v>508</v>
      </c>
      <c r="E838" s="11" t="s">
        <v>16</v>
      </c>
      <c r="F838" s="12" t="s">
        <v>1599</v>
      </c>
    </row>
    <row r="839" spans="1:6" ht="12.75">
      <c r="A839" s="10" t="str">
        <f>HYPERLINK(SUBSTITUTE(T(hl_0),"{0}","900331968456986"),hn_0)</f>
        <v>ОВ</v>
      </c>
      <c r="B839" s="9">
        <v>5000</v>
      </c>
      <c r="C839" s="11" t="s">
        <v>509</v>
      </c>
      <c r="D839" s="15" t="s">
        <v>510</v>
      </c>
      <c r="E839" s="11" t="s">
        <v>16</v>
      </c>
      <c r="F839" s="12" t="s">
        <v>1599</v>
      </c>
    </row>
    <row r="840" spans="1:6" ht="25.5">
      <c r="A840" s="10" t="str">
        <f>HYPERLINK(SUBSTITUTE(T(hl_0),"{0}","319329992361785"),hn_0)</f>
        <v>ОВ</v>
      </c>
      <c r="B840" s="9">
        <v>5600</v>
      </c>
      <c r="C840" s="11" t="s">
        <v>511</v>
      </c>
      <c r="D840" s="15" t="s">
        <v>1296</v>
      </c>
      <c r="E840" s="11" t="s">
        <v>22</v>
      </c>
      <c r="F840" s="11" t="s">
        <v>1599</v>
      </c>
    </row>
    <row r="841" spans="1:6" ht="38.25">
      <c r="A841" s="10" t="str">
        <f>HYPERLINK(SUBSTITUTE(T(hl_0),"{0}","320331701902148"),hn_0)</f>
        <v>ОВ</v>
      </c>
      <c r="B841" s="9">
        <v>4750</v>
      </c>
      <c r="C841" s="11" t="s">
        <v>511</v>
      </c>
      <c r="D841" s="15" t="s">
        <v>1297</v>
      </c>
      <c r="E841" s="11" t="s">
        <v>23</v>
      </c>
      <c r="F841" s="12" t="s">
        <v>1599</v>
      </c>
    </row>
    <row r="842" spans="1:6" ht="38.25">
      <c r="A842" s="10" t="str">
        <f>HYPERLINK(SUBSTITUTE(T(hl_0),"{0}","320331701907256"),hn_0)</f>
        <v>ОВ</v>
      </c>
      <c r="B842" s="9">
        <v>4750</v>
      </c>
      <c r="C842" s="11" t="s">
        <v>511</v>
      </c>
      <c r="D842" s="15" t="s">
        <v>1297</v>
      </c>
      <c r="E842" s="11" t="s">
        <v>23</v>
      </c>
      <c r="F842" s="12" t="s">
        <v>1599</v>
      </c>
    </row>
    <row r="843" spans="1:6" ht="38.25">
      <c r="A843" s="10" t="str">
        <f>HYPERLINK(SUBSTITUTE(T(hl_0),"{0}","321328134576445"),hn_0)</f>
        <v>ОВ</v>
      </c>
      <c r="B843" s="9">
        <v>12000</v>
      </c>
      <c r="C843" s="11" t="s">
        <v>511</v>
      </c>
      <c r="D843" s="15" t="s">
        <v>1298</v>
      </c>
      <c r="E843" s="11" t="s">
        <v>20</v>
      </c>
      <c r="F843" s="12" t="s">
        <v>1599</v>
      </c>
    </row>
    <row r="844" spans="1:6" ht="25.5">
      <c r="A844" s="10" t="str">
        <f>HYPERLINK(SUBSTITUTE(T(hl_0),"{0}","322332052976684"),hn_0)</f>
        <v>ОВ</v>
      </c>
      <c r="B844" s="9">
        <v>10000</v>
      </c>
      <c r="C844" s="11" t="s">
        <v>511</v>
      </c>
      <c r="D844" s="15" t="s">
        <v>512</v>
      </c>
      <c r="E844" s="11" t="s">
        <v>513</v>
      </c>
      <c r="F844" s="12" t="s">
        <v>1599</v>
      </c>
    </row>
    <row r="845" spans="1:6" ht="38.25">
      <c r="A845" s="10" t="str">
        <f>HYPERLINK(SUBSTITUTE(T(hl_0),"{0}","327332148249293"),hn_0)</f>
        <v>ОВ</v>
      </c>
      <c r="B845" s="9">
        <v>6500</v>
      </c>
      <c r="C845" s="11" t="s">
        <v>511</v>
      </c>
      <c r="D845" s="15" t="s">
        <v>514</v>
      </c>
      <c r="E845" s="11" t="s">
        <v>16</v>
      </c>
      <c r="F845" s="12" t="s">
        <v>1599</v>
      </c>
    </row>
    <row r="846" spans="1:6" ht="38.25">
      <c r="A846" s="10" t="str">
        <f>HYPERLINK(SUBSTITUTE(T(hl_0),"{0}","329332247578811"),hn_0)</f>
        <v>ОВ</v>
      </c>
      <c r="B846" s="9">
        <v>8000</v>
      </c>
      <c r="C846" s="11" t="s">
        <v>511</v>
      </c>
      <c r="D846" s="15" t="s">
        <v>515</v>
      </c>
      <c r="E846" s="11" t="s">
        <v>44</v>
      </c>
      <c r="F846" s="11" t="s">
        <v>1599</v>
      </c>
    </row>
    <row r="847" spans="1:6" ht="38.25">
      <c r="A847" s="10" t="str">
        <f>HYPERLINK(SUBSTITUTE(T(hl_0),"{0}","900325470383978"),hn_0)</f>
        <v>ОВ</v>
      </c>
      <c r="B847" s="9">
        <v>8000</v>
      </c>
      <c r="C847" s="11" t="s">
        <v>511</v>
      </c>
      <c r="D847" s="15" t="s">
        <v>516</v>
      </c>
      <c r="E847" s="11" t="s">
        <v>16</v>
      </c>
      <c r="F847" s="12" t="s">
        <v>1599</v>
      </c>
    </row>
    <row r="848" spans="1:6" ht="38.25">
      <c r="A848" s="10" t="str">
        <f>HYPERLINK(SUBSTITUTE(T(hl_0),"{0}","900325470040737"),hn_0)</f>
        <v>ОВ</v>
      </c>
      <c r="B848" s="9">
        <v>8000</v>
      </c>
      <c r="C848" s="11" t="s">
        <v>511</v>
      </c>
      <c r="D848" s="15" t="s">
        <v>516</v>
      </c>
      <c r="E848" s="11" t="s">
        <v>16</v>
      </c>
      <c r="F848" s="12" t="s">
        <v>1599</v>
      </c>
    </row>
    <row r="849" spans="1:6" ht="25.5">
      <c r="A849" s="10" t="str">
        <f>HYPERLINK(SUBSTITUTE(T(hl_0),"{0}","900332146949149"),hn_0)</f>
        <v>ОВ</v>
      </c>
      <c r="B849" s="9">
        <v>7000</v>
      </c>
      <c r="C849" s="11" t="s">
        <v>511</v>
      </c>
      <c r="D849" s="15" t="s">
        <v>517</v>
      </c>
      <c r="E849" s="11" t="s">
        <v>16</v>
      </c>
      <c r="F849" s="12" t="s">
        <v>1599</v>
      </c>
    </row>
    <row r="850" spans="1:6" ht="25.5">
      <c r="A850" s="10" t="str">
        <f>HYPERLINK(SUBSTITUTE(T(hl_0),"{0}","900332247774263"),hn_0)</f>
        <v>ОВ</v>
      </c>
      <c r="B850" s="9">
        <v>8000</v>
      </c>
      <c r="C850" s="11" t="s">
        <v>511</v>
      </c>
      <c r="D850" s="15" t="s">
        <v>518</v>
      </c>
      <c r="E850" s="11" t="s">
        <v>16</v>
      </c>
      <c r="F850" s="12" t="s">
        <v>1599</v>
      </c>
    </row>
    <row r="851" spans="1:6" ht="25.5">
      <c r="A851" s="10" t="str">
        <f>HYPERLINK(SUBSTITUTE(T(hl_0),"{0}","900331700656532"),hn_0)</f>
        <v>ОВ</v>
      </c>
      <c r="B851" s="9">
        <v>7700</v>
      </c>
      <c r="C851" s="11" t="s">
        <v>511</v>
      </c>
      <c r="D851" s="15" t="s">
        <v>519</v>
      </c>
      <c r="E851" s="11" t="s">
        <v>16</v>
      </c>
      <c r="F851" s="12" t="s">
        <v>1599</v>
      </c>
    </row>
    <row r="852" spans="1:6" ht="38.25">
      <c r="A852" s="10" t="str">
        <f>HYPERLINK(SUBSTITUTE(T(hl_0),"{0}","900324876544555"),hn_0)</f>
        <v>ОВ</v>
      </c>
      <c r="B852" s="9">
        <v>5500</v>
      </c>
      <c r="C852" s="11" t="s">
        <v>511</v>
      </c>
      <c r="D852" s="15" t="s">
        <v>520</v>
      </c>
      <c r="E852" s="11" t="s">
        <v>16</v>
      </c>
      <c r="F852" s="12" t="s">
        <v>1599</v>
      </c>
    </row>
    <row r="853" spans="1:6" ht="38.25">
      <c r="A853" s="10" t="str">
        <f>HYPERLINK(SUBSTITUTE(T(hl_0),"{0}","900324876551555"),hn_0)</f>
        <v>ОВ</v>
      </c>
      <c r="B853" s="9">
        <v>5500</v>
      </c>
      <c r="C853" s="11" t="s">
        <v>511</v>
      </c>
      <c r="D853" s="15" t="s">
        <v>520</v>
      </c>
      <c r="E853" s="11" t="s">
        <v>16</v>
      </c>
      <c r="F853" s="12" t="s">
        <v>1599</v>
      </c>
    </row>
    <row r="854" spans="1:6" ht="38.25">
      <c r="A854" s="10" t="str">
        <f>HYPERLINK(SUBSTITUTE(T(hl_0),"{0}","900325181181541"),hn_0)</f>
        <v>ОВ</v>
      </c>
      <c r="B854" s="9">
        <v>5500</v>
      </c>
      <c r="C854" s="11" t="s">
        <v>511</v>
      </c>
      <c r="D854" s="15" t="s">
        <v>1299</v>
      </c>
      <c r="E854" s="11" t="s">
        <v>16</v>
      </c>
      <c r="F854" s="12" t="s">
        <v>1599</v>
      </c>
    </row>
    <row r="855" spans="1:6" ht="25.5">
      <c r="A855" s="10" t="str">
        <f>HYPERLINK(SUBSTITUTE(T(hl_0),"{0}","900327027246996"),hn_0)</f>
        <v>ОВ</v>
      </c>
      <c r="B855" s="9">
        <v>6500</v>
      </c>
      <c r="C855" s="11" t="s">
        <v>511</v>
      </c>
      <c r="D855" s="15" t="s">
        <v>521</v>
      </c>
      <c r="E855" s="11" t="s">
        <v>16</v>
      </c>
      <c r="F855" s="12" t="s">
        <v>1599</v>
      </c>
    </row>
    <row r="856" spans="1:6" ht="25.5">
      <c r="A856" s="10" t="str">
        <f>HYPERLINK(SUBSTITUTE(T(hl_0),"{0}","900331029115620"),hn_0)</f>
        <v>ОВ</v>
      </c>
      <c r="B856" s="9">
        <v>7000</v>
      </c>
      <c r="C856" s="11" t="s">
        <v>511</v>
      </c>
      <c r="D856" s="15" t="s">
        <v>522</v>
      </c>
      <c r="E856" s="11" t="s">
        <v>16</v>
      </c>
      <c r="F856" s="12" t="s">
        <v>1599</v>
      </c>
    </row>
    <row r="857" spans="1:6" ht="25.5">
      <c r="A857" s="10" t="str">
        <f>HYPERLINK(SUBSTITUTE(T(hl_0),"{0}","900329567366697"),hn_0)</f>
        <v>ОВ</v>
      </c>
      <c r="B857" s="9">
        <v>12000</v>
      </c>
      <c r="C857" s="11" t="s">
        <v>511</v>
      </c>
      <c r="D857" s="15" t="s">
        <v>523</v>
      </c>
      <c r="E857" s="11" t="s">
        <v>36</v>
      </c>
      <c r="F857" s="12" t="s">
        <v>1599</v>
      </c>
    </row>
    <row r="858" spans="1:6" ht="25.5">
      <c r="A858" s="10" t="str">
        <f>HYPERLINK(SUBSTITUTE(T(hl_0),"{0}","900329567362861"),hn_0)</f>
        <v>ОВ</v>
      </c>
      <c r="B858" s="9">
        <v>12000</v>
      </c>
      <c r="C858" s="11" t="s">
        <v>511</v>
      </c>
      <c r="D858" s="15" t="s">
        <v>523</v>
      </c>
      <c r="E858" s="11" t="s">
        <v>36</v>
      </c>
      <c r="F858" s="12" t="s">
        <v>1599</v>
      </c>
    </row>
    <row r="859" spans="1:6" ht="51">
      <c r="A859" s="10" t="str">
        <f>HYPERLINK(SUBSTITUTE(T(hl_0),"{0}","900327964281845"),hn_0)</f>
        <v>ОВ</v>
      </c>
      <c r="B859" s="9">
        <v>7000</v>
      </c>
      <c r="C859" s="11" t="s">
        <v>511</v>
      </c>
      <c r="D859" s="15" t="s">
        <v>524</v>
      </c>
      <c r="E859" s="11" t="s">
        <v>16</v>
      </c>
      <c r="F859" s="12" t="s">
        <v>1599</v>
      </c>
    </row>
    <row r="860" spans="1:6" ht="63.75">
      <c r="A860" s="10" t="str">
        <f>HYPERLINK(SUBSTITUTE(T(hl_0),"{0}","900328160741268"),hn_0)</f>
        <v>ОВ</v>
      </c>
      <c r="B860" s="9">
        <v>7000</v>
      </c>
      <c r="C860" s="11" t="s">
        <v>511</v>
      </c>
      <c r="D860" s="15" t="s">
        <v>525</v>
      </c>
      <c r="E860" s="11" t="s">
        <v>16</v>
      </c>
      <c r="F860" s="12" t="s">
        <v>1599</v>
      </c>
    </row>
    <row r="861" spans="1:6" ht="25.5">
      <c r="A861" s="10" t="str">
        <f>HYPERLINK(SUBSTITUTE(T(hl_0),"{0}","900327917230207"),hn_0)</f>
        <v>ОВ</v>
      </c>
      <c r="B861" s="9">
        <v>7000</v>
      </c>
      <c r="C861" s="11" t="s">
        <v>511</v>
      </c>
      <c r="D861" s="15" t="s">
        <v>526</v>
      </c>
      <c r="E861" s="11" t="s">
        <v>16</v>
      </c>
      <c r="F861" s="12" t="s">
        <v>1599</v>
      </c>
    </row>
    <row r="862" spans="1:6" ht="12.75">
      <c r="A862" s="10" t="str">
        <f>HYPERLINK(SUBSTITUTE(T(hl_0),"{0}","900327837657680"),hn_0)</f>
        <v>ОВ</v>
      </c>
      <c r="B862" s="9">
        <v>7300</v>
      </c>
      <c r="C862" s="11" t="s">
        <v>527</v>
      </c>
      <c r="D862" s="15" t="s">
        <v>528</v>
      </c>
      <c r="E862" s="11" t="s">
        <v>16</v>
      </c>
      <c r="F862" s="12" t="s">
        <v>1599</v>
      </c>
    </row>
    <row r="863" spans="1:6" ht="12.75">
      <c r="A863" s="10" t="str">
        <f>HYPERLINK(SUBSTITUTE(T(hl_0),"{0}","900331970940035"),hn_0)</f>
        <v>ОВ</v>
      </c>
      <c r="B863" s="9">
        <v>7536</v>
      </c>
      <c r="C863" s="11" t="s">
        <v>529</v>
      </c>
      <c r="D863" s="15" t="s">
        <v>530</v>
      </c>
      <c r="E863" s="11" t="s">
        <v>16</v>
      </c>
      <c r="F863" s="12" t="s">
        <v>1599</v>
      </c>
    </row>
    <row r="864" spans="1:6" ht="12.75">
      <c r="A864" s="10" t="str">
        <f>HYPERLINK(SUBSTITUTE(T(hl_0),"{0}","900331341743064"),hn_0)</f>
        <v>ОВ</v>
      </c>
      <c r="B864" s="9">
        <v>7536</v>
      </c>
      <c r="C864" s="11" t="s">
        <v>529</v>
      </c>
      <c r="D864" s="15" t="s">
        <v>531</v>
      </c>
      <c r="E864" s="11" t="s">
        <v>16</v>
      </c>
      <c r="F864" s="12" t="s">
        <v>1599</v>
      </c>
    </row>
    <row r="865" spans="1:6" ht="51">
      <c r="A865" s="10" t="str">
        <f>HYPERLINK(SUBSTITUTE(T(hl_0),"{0}","900324876558004"),hn_0)</f>
        <v>ОВ</v>
      </c>
      <c r="B865" s="9">
        <v>5500</v>
      </c>
      <c r="C865" s="11" t="s">
        <v>532</v>
      </c>
      <c r="D865" s="15" t="s">
        <v>533</v>
      </c>
      <c r="E865" s="11" t="s">
        <v>16</v>
      </c>
      <c r="F865" s="12" t="s">
        <v>1599</v>
      </c>
    </row>
    <row r="866" spans="1:6" ht="12.75">
      <c r="A866" s="10" t="str">
        <f>HYPERLINK(SUBSTITUTE(T(hl_0),"{0}","319331996412708"),hn_0)</f>
        <v>ОВ</v>
      </c>
      <c r="B866" s="9">
        <v>5800</v>
      </c>
      <c r="C866" s="11" t="s">
        <v>534</v>
      </c>
      <c r="D866" s="15" t="s">
        <v>1300</v>
      </c>
      <c r="E866" s="11" t="s">
        <v>22</v>
      </c>
      <c r="F866" s="11" t="s">
        <v>1599</v>
      </c>
    </row>
    <row r="867" spans="1:6" ht="12.75">
      <c r="A867" s="10" t="str">
        <f>HYPERLINK(SUBSTITUTE(T(hl_0),"{0}","319330166151378"),hn_0)</f>
        <v>ОВ</v>
      </c>
      <c r="B867" s="9">
        <v>8500</v>
      </c>
      <c r="C867" s="11" t="s">
        <v>534</v>
      </c>
      <c r="D867" s="15" t="s">
        <v>1301</v>
      </c>
      <c r="E867" s="11" t="s">
        <v>22</v>
      </c>
      <c r="F867" s="11" t="s">
        <v>1599</v>
      </c>
    </row>
    <row r="868" spans="1:6" ht="25.5">
      <c r="A868" s="10" t="str">
        <f>HYPERLINK(SUBSTITUTE(T(hl_0),"{0}","321331818695131"),hn_0)</f>
        <v>ОВ</v>
      </c>
      <c r="B868" s="9">
        <v>5200</v>
      </c>
      <c r="C868" s="11" t="s">
        <v>534</v>
      </c>
      <c r="D868" s="15" t="s">
        <v>1302</v>
      </c>
      <c r="E868" s="11" t="s">
        <v>20</v>
      </c>
      <c r="F868" s="12" t="s">
        <v>1599</v>
      </c>
    </row>
    <row r="869" spans="1:6" ht="12.75">
      <c r="A869" s="10" t="str">
        <f>HYPERLINK(SUBSTITUTE(T(hl_0),"{0}","322331481924680"),hn_0)</f>
        <v>ОВ</v>
      </c>
      <c r="B869" s="9">
        <v>6000</v>
      </c>
      <c r="C869" s="11" t="s">
        <v>534</v>
      </c>
      <c r="D869" s="15" t="s">
        <v>535</v>
      </c>
      <c r="E869" s="11" t="s">
        <v>37</v>
      </c>
      <c r="F869" s="12" t="s">
        <v>1599</v>
      </c>
    </row>
    <row r="870" spans="1:6" ht="38.25">
      <c r="A870" s="10" t="str">
        <f>HYPERLINK(SUBSTITUTE(T(hl_0),"{0}","325331875415087"),hn_0)</f>
        <v>ОВ</v>
      </c>
      <c r="B870" s="9">
        <v>7500</v>
      </c>
      <c r="C870" s="11" t="s">
        <v>534</v>
      </c>
      <c r="D870" s="15" t="s">
        <v>1303</v>
      </c>
      <c r="E870" s="11" t="s">
        <v>16</v>
      </c>
      <c r="F870" s="12" t="s">
        <v>1599</v>
      </c>
    </row>
    <row r="871" spans="1:6" ht="38.25">
      <c r="A871" s="10" t="str">
        <f>HYPERLINK(SUBSTITUTE(T(hl_0),"{0}","325331875386149"),hn_0)</f>
        <v>ОВ</v>
      </c>
      <c r="B871" s="9">
        <v>7500</v>
      </c>
      <c r="C871" s="11" t="s">
        <v>534</v>
      </c>
      <c r="D871" s="15" t="s">
        <v>1303</v>
      </c>
      <c r="E871" s="11" t="s">
        <v>16</v>
      </c>
      <c r="F871" s="12" t="s">
        <v>1599</v>
      </c>
    </row>
    <row r="872" spans="1:6" ht="51">
      <c r="A872" s="10" t="str">
        <f>HYPERLINK(SUBSTITUTE(T(hl_0),"{0}","326330436156596"),hn_0)</f>
        <v>ОВ</v>
      </c>
      <c r="B872" s="9">
        <v>7500</v>
      </c>
      <c r="C872" s="11" t="s">
        <v>534</v>
      </c>
      <c r="D872" s="15" t="s">
        <v>1304</v>
      </c>
      <c r="E872" s="11" t="s">
        <v>536</v>
      </c>
      <c r="F872" s="12" t="s">
        <v>1599</v>
      </c>
    </row>
    <row r="873" spans="1:6" ht="25.5">
      <c r="A873" s="10" t="str">
        <f>HYPERLINK(SUBSTITUTE(T(hl_0),"{0}","900325594571281"),hn_0)</f>
        <v>ОВ</v>
      </c>
      <c r="B873" s="9">
        <v>7000</v>
      </c>
      <c r="C873" s="11" t="s">
        <v>534</v>
      </c>
      <c r="D873" s="15" t="s">
        <v>1305</v>
      </c>
      <c r="E873" s="11" t="s">
        <v>79</v>
      </c>
      <c r="F873" s="12" t="s">
        <v>1599</v>
      </c>
    </row>
    <row r="874" spans="1:6" ht="12.75">
      <c r="A874" s="10" t="str">
        <f>HYPERLINK(SUBSTITUTE(T(hl_0),"{0}","900331793760981"),hn_0)</f>
        <v>ОВ</v>
      </c>
      <c r="B874" s="9">
        <v>8000</v>
      </c>
      <c r="C874" s="11" t="s">
        <v>534</v>
      </c>
      <c r="D874" s="15" t="s">
        <v>537</v>
      </c>
      <c r="E874" s="11" t="s">
        <v>16</v>
      </c>
      <c r="F874" s="12" t="s">
        <v>1599</v>
      </c>
    </row>
    <row r="875" spans="1:6" ht="12.75">
      <c r="A875" s="10" t="str">
        <f>HYPERLINK(SUBSTITUTE(T(hl_0),"{0}","900327207150168"),hn_0)</f>
        <v>ОВ</v>
      </c>
      <c r="B875" s="9">
        <v>4800</v>
      </c>
      <c r="C875" s="11" t="s">
        <v>534</v>
      </c>
      <c r="D875" s="15" t="s">
        <v>538</v>
      </c>
      <c r="E875" s="11" t="s">
        <v>16</v>
      </c>
      <c r="F875" s="12" t="s">
        <v>1599</v>
      </c>
    </row>
    <row r="876" spans="1:6" ht="25.5">
      <c r="A876" s="10" t="str">
        <f>HYPERLINK(SUBSTITUTE(T(hl_0),"{0}","321332146814663"),hn_0)</f>
        <v>ОВ</v>
      </c>
      <c r="B876" s="9">
        <v>5500</v>
      </c>
      <c r="C876" s="11" t="s">
        <v>539</v>
      </c>
      <c r="D876" s="15" t="s">
        <v>1306</v>
      </c>
      <c r="E876" s="11" t="s">
        <v>20</v>
      </c>
      <c r="F876" s="12" t="s">
        <v>1599</v>
      </c>
    </row>
    <row r="877" spans="1:6" ht="25.5">
      <c r="A877" s="10" t="str">
        <f>HYPERLINK(SUBSTITUTE(T(hl_0),"{0}","321332146814676"),hn_0)</f>
        <v>ОВ</v>
      </c>
      <c r="B877" s="9">
        <v>5500</v>
      </c>
      <c r="C877" s="11" t="s">
        <v>539</v>
      </c>
      <c r="D877" s="15" t="s">
        <v>1306</v>
      </c>
      <c r="E877" s="11" t="s">
        <v>20</v>
      </c>
      <c r="F877" s="12" t="s">
        <v>1599</v>
      </c>
    </row>
    <row r="878" spans="1:6" ht="63.75">
      <c r="A878" s="10" t="str">
        <f>HYPERLINK(SUBSTITUTE(T(hl_0),"{0}","330332223928377"),hn_0)</f>
        <v>ОВ</v>
      </c>
      <c r="B878" s="9">
        <v>6000</v>
      </c>
      <c r="C878" s="11" t="s">
        <v>539</v>
      </c>
      <c r="D878" s="15" t="s">
        <v>1307</v>
      </c>
      <c r="E878" s="11" t="s">
        <v>29</v>
      </c>
      <c r="F878" s="11" t="s">
        <v>1599</v>
      </c>
    </row>
    <row r="879" spans="1:6" ht="51">
      <c r="A879" s="10" t="str">
        <f>HYPERLINK(SUBSTITUTE(T(hl_0),"{0}","330332315842833"),hn_0)</f>
        <v>ОВ</v>
      </c>
      <c r="B879" s="9">
        <v>8000</v>
      </c>
      <c r="C879" s="11" t="s">
        <v>539</v>
      </c>
      <c r="D879" s="15" t="s">
        <v>1308</v>
      </c>
      <c r="E879" s="11" t="s">
        <v>28</v>
      </c>
      <c r="F879" s="11" t="s">
        <v>1599</v>
      </c>
    </row>
    <row r="880" spans="1:6" ht="25.5">
      <c r="A880" s="10" t="str">
        <f>HYPERLINK(SUBSTITUTE(T(hl_0),"{0}","330332223485434"),hn_0)</f>
        <v>ОВ</v>
      </c>
      <c r="B880" s="9">
        <v>8000</v>
      </c>
      <c r="C880" s="11" t="s">
        <v>539</v>
      </c>
      <c r="D880" s="15" t="s">
        <v>1309</v>
      </c>
      <c r="E880" s="11" t="s">
        <v>540</v>
      </c>
      <c r="F880" s="11" t="s">
        <v>1599</v>
      </c>
    </row>
    <row r="881" spans="1:6" ht="25.5">
      <c r="A881" s="10" t="str">
        <f>HYPERLINK(SUBSTITUTE(T(hl_0),"{0}","900332221799521"),hn_0)</f>
        <v>ОВ</v>
      </c>
      <c r="B881" s="9">
        <v>7500</v>
      </c>
      <c r="C881" s="11" t="s">
        <v>541</v>
      </c>
      <c r="D881" s="15" t="s">
        <v>542</v>
      </c>
      <c r="E881" s="11" t="s">
        <v>16</v>
      </c>
      <c r="F881" s="12" t="s">
        <v>1599</v>
      </c>
    </row>
    <row r="882" spans="1:6" ht="38.25">
      <c r="A882" s="10" t="str">
        <f>HYPERLINK(SUBSTITUTE(T(hl_0),"{0}","330332247303859"),hn_0)</f>
        <v>ОВ</v>
      </c>
      <c r="B882" s="9">
        <v>11000</v>
      </c>
      <c r="C882" s="11" t="s">
        <v>543</v>
      </c>
      <c r="D882" s="15" t="s">
        <v>1310</v>
      </c>
      <c r="E882" s="11" t="s">
        <v>45</v>
      </c>
      <c r="F882" s="11" t="s">
        <v>1599</v>
      </c>
    </row>
    <row r="883" spans="1:6" ht="12.75">
      <c r="A883" s="10" t="str">
        <f>HYPERLINK(SUBSTITUTE(T(hl_0),"{0}","900331996486890"),hn_0)</f>
        <v>ОВ</v>
      </c>
      <c r="B883" s="9">
        <v>4723</v>
      </c>
      <c r="C883" s="11" t="s">
        <v>543</v>
      </c>
      <c r="D883" s="15" t="s">
        <v>544</v>
      </c>
      <c r="E883" s="11" t="s">
        <v>16</v>
      </c>
      <c r="F883" s="12" t="s">
        <v>1599</v>
      </c>
    </row>
    <row r="884" spans="1:6" ht="38.25">
      <c r="A884" s="10" t="str">
        <f>HYPERLINK(SUBSTITUTE(T(hl_0),"{0}","900327989542328"),hn_0)</f>
        <v>ОВ</v>
      </c>
      <c r="B884" s="9">
        <v>15000</v>
      </c>
      <c r="C884" s="11" t="s">
        <v>545</v>
      </c>
      <c r="D884" s="15" t="s">
        <v>546</v>
      </c>
      <c r="E884" s="11" t="s">
        <v>547</v>
      </c>
      <c r="F884" s="12" t="s">
        <v>1599</v>
      </c>
    </row>
    <row r="885" spans="1:6" ht="12.75">
      <c r="A885" s="10" t="str">
        <f>HYPERLINK(SUBSTITUTE(T(hl_0),"{0}","900330468098732"),hn_0)</f>
        <v>ОВ</v>
      </c>
      <c r="B885" s="9">
        <v>5000</v>
      </c>
      <c r="C885" s="11" t="s">
        <v>548</v>
      </c>
      <c r="D885" s="15" t="s">
        <v>549</v>
      </c>
      <c r="E885" s="11" t="s">
        <v>16</v>
      </c>
      <c r="F885" s="12" t="s">
        <v>1599</v>
      </c>
    </row>
    <row r="886" spans="1:6" ht="12.75">
      <c r="A886" s="10" t="str">
        <f>HYPERLINK(SUBSTITUTE(T(hl_0),"{0}","900331791186457"),hn_0)</f>
        <v>ОВ</v>
      </c>
      <c r="B886" s="9">
        <v>7000</v>
      </c>
      <c r="C886" s="11" t="s">
        <v>550</v>
      </c>
      <c r="D886" s="15" t="s">
        <v>551</v>
      </c>
      <c r="E886" s="11" t="s">
        <v>16</v>
      </c>
      <c r="F886" s="12" t="s">
        <v>1599</v>
      </c>
    </row>
    <row r="887" spans="1:6" ht="51">
      <c r="A887" s="10" t="str">
        <f>HYPERLINK(SUBSTITUTE(T(hl_0),"{0}","330331508307224"),hn_0)</f>
        <v>ОВ</v>
      </c>
      <c r="B887" s="9">
        <v>9000</v>
      </c>
      <c r="C887" s="11" t="s">
        <v>552</v>
      </c>
      <c r="D887" s="15" t="s">
        <v>1311</v>
      </c>
      <c r="E887" s="11" t="s">
        <v>28</v>
      </c>
      <c r="F887" s="11" t="s">
        <v>1599</v>
      </c>
    </row>
    <row r="888" spans="1:6" ht="51">
      <c r="A888" s="10" t="str">
        <f>HYPERLINK(SUBSTITUTE(T(hl_0),"{0}","322331700568537"),hn_0)</f>
        <v>ОВ</v>
      </c>
      <c r="B888" s="9">
        <v>7400</v>
      </c>
      <c r="C888" s="11" t="s">
        <v>553</v>
      </c>
      <c r="D888" s="15" t="s">
        <v>554</v>
      </c>
      <c r="E888" s="11" t="s">
        <v>37</v>
      </c>
      <c r="F888" s="12" t="s">
        <v>1599</v>
      </c>
    </row>
    <row r="889" spans="1:6" ht="38.25">
      <c r="A889" s="10" t="str">
        <f>HYPERLINK(SUBSTITUTE(T(hl_0),"{0}","900332171174093"),hn_0)</f>
        <v>ОВ</v>
      </c>
      <c r="B889" s="9">
        <v>8000</v>
      </c>
      <c r="C889" s="11" t="s">
        <v>555</v>
      </c>
      <c r="D889" s="15" t="s">
        <v>556</v>
      </c>
      <c r="E889" s="11" t="s">
        <v>16</v>
      </c>
      <c r="F889" s="12" t="s">
        <v>1599</v>
      </c>
    </row>
    <row r="890" spans="1:6" ht="12.75">
      <c r="A890" s="10" t="str">
        <f>HYPERLINK(SUBSTITUTE(T(hl_0),"{0}","900331873399320"),hn_0)</f>
        <v>ОВ</v>
      </c>
      <c r="B890" s="9">
        <v>4800</v>
      </c>
      <c r="C890" s="11" t="s">
        <v>555</v>
      </c>
      <c r="D890" s="15" t="s">
        <v>557</v>
      </c>
      <c r="E890" s="11" t="s">
        <v>16</v>
      </c>
      <c r="F890" s="12" t="s">
        <v>1599</v>
      </c>
    </row>
    <row r="891" spans="1:6" ht="12.75">
      <c r="A891" s="10" t="str">
        <f>HYPERLINK(SUBSTITUTE(T(hl_0),"{0}","900331873399336"),hn_0)</f>
        <v>ОВ</v>
      </c>
      <c r="B891" s="9">
        <v>4800</v>
      </c>
      <c r="C891" s="11" t="s">
        <v>555</v>
      </c>
      <c r="D891" s="15" t="s">
        <v>557</v>
      </c>
      <c r="E891" s="11" t="s">
        <v>16</v>
      </c>
      <c r="F891" s="12" t="s">
        <v>1599</v>
      </c>
    </row>
    <row r="892" spans="1:6" ht="12.75">
      <c r="A892" s="10" t="str">
        <f>HYPERLINK(SUBSTITUTE(T(hl_0),"{0}","900332000692274"),hn_0)</f>
        <v>ОВ</v>
      </c>
      <c r="B892" s="9">
        <v>4723</v>
      </c>
      <c r="C892" s="11" t="s">
        <v>558</v>
      </c>
      <c r="D892" s="15" t="s">
        <v>559</v>
      </c>
      <c r="E892" s="11" t="s">
        <v>16</v>
      </c>
      <c r="F892" s="12" t="s">
        <v>1599</v>
      </c>
    </row>
    <row r="893" spans="1:6" ht="25.5">
      <c r="A893" s="10" t="str">
        <f>HYPERLINK(SUBSTITUTE(T(hl_0),"{0}","319330166320233"),hn_0)</f>
        <v>ОВ</v>
      </c>
      <c r="B893" s="9">
        <v>11000</v>
      </c>
      <c r="C893" s="11" t="s">
        <v>560</v>
      </c>
      <c r="D893" s="15" t="s">
        <v>561</v>
      </c>
      <c r="E893" s="11" t="s">
        <v>22</v>
      </c>
      <c r="F893" s="11" t="s">
        <v>1599</v>
      </c>
    </row>
    <row r="894" spans="1:6" ht="25.5">
      <c r="A894" s="10" t="str">
        <f>HYPERLINK(SUBSTITUTE(T(hl_0),"{0}","321331649063833"),hn_0)</f>
        <v>ОВ</v>
      </c>
      <c r="B894" s="9">
        <v>6000</v>
      </c>
      <c r="C894" s="11" t="s">
        <v>560</v>
      </c>
      <c r="D894" s="15" t="s">
        <v>1312</v>
      </c>
      <c r="E894" s="11" t="s">
        <v>20</v>
      </c>
      <c r="F894" s="12" t="s">
        <v>1599</v>
      </c>
    </row>
    <row r="895" spans="1:6" ht="51">
      <c r="A895" s="10" t="str">
        <f>HYPERLINK(SUBSTITUTE(T(hl_0),"{0}","330331507930280"),hn_0)</f>
        <v>ОВ</v>
      </c>
      <c r="B895" s="9">
        <v>10000</v>
      </c>
      <c r="C895" s="11" t="s">
        <v>560</v>
      </c>
      <c r="D895" s="15" t="s">
        <v>1313</v>
      </c>
      <c r="E895" s="11" t="s">
        <v>28</v>
      </c>
      <c r="F895" s="11" t="s">
        <v>1599</v>
      </c>
    </row>
    <row r="896" spans="1:6" ht="12.75">
      <c r="A896" s="10" t="str">
        <f>HYPERLINK(SUBSTITUTE(T(hl_0),"{0}","900332077405463"),hn_0)</f>
        <v>ОВ</v>
      </c>
      <c r="B896" s="9">
        <v>8000</v>
      </c>
      <c r="C896" s="11" t="s">
        <v>560</v>
      </c>
      <c r="D896" s="15" t="s">
        <v>562</v>
      </c>
      <c r="E896" s="11" t="s">
        <v>16</v>
      </c>
      <c r="F896" s="12" t="s">
        <v>1599</v>
      </c>
    </row>
    <row r="897" spans="1:6" ht="38.25">
      <c r="A897" s="10" t="str">
        <f>HYPERLINK(SUBSTITUTE(T(hl_0),"{0}","900331651387811"),hn_0)</f>
        <v>ОВ</v>
      </c>
      <c r="B897" s="9">
        <v>7500</v>
      </c>
      <c r="C897" s="11" t="s">
        <v>563</v>
      </c>
      <c r="D897" s="15" t="s">
        <v>564</v>
      </c>
      <c r="E897" s="11" t="s">
        <v>16</v>
      </c>
      <c r="F897" s="12" t="s">
        <v>1599</v>
      </c>
    </row>
    <row r="898" spans="1:6" ht="25.5">
      <c r="A898" s="10" t="str">
        <f>HYPERLINK(SUBSTITUTE(T(hl_0),"{0}","333331650064315"),hn_0)</f>
        <v>ОВ</v>
      </c>
      <c r="B898" s="9">
        <v>6600</v>
      </c>
      <c r="C898" s="11" t="s">
        <v>565</v>
      </c>
      <c r="D898" s="15" t="s">
        <v>566</v>
      </c>
      <c r="E898" s="11" t="s">
        <v>567</v>
      </c>
      <c r="F898" s="11" t="s">
        <v>1599</v>
      </c>
    </row>
    <row r="899" spans="1:6" ht="51">
      <c r="A899" s="10" t="str">
        <f>HYPERLINK(SUBSTITUTE(T(hl_0),"{0}","900329776871365"),hn_0)</f>
        <v>ОВ</v>
      </c>
      <c r="B899" s="9">
        <v>10000</v>
      </c>
      <c r="C899" s="11" t="s">
        <v>565</v>
      </c>
      <c r="D899" s="15" t="s">
        <v>568</v>
      </c>
      <c r="E899" s="11" t="s">
        <v>16</v>
      </c>
      <c r="F899" s="12" t="s">
        <v>1599</v>
      </c>
    </row>
    <row r="900" spans="1:6" ht="25.5">
      <c r="A900" s="10" t="str">
        <f>HYPERLINK(SUBSTITUTE(T(hl_0),"{0}","900332024545422"),hn_0)</f>
        <v>ОВ</v>
      </c>
      <c r="B900" s="9">
        <v>7000</v>
      </c>
      <c r="C900" s="11" t="s">
        <v>569</v>
      </c>
      <c r="D900" s="15" t="s">
        <v>570</v>
      </c>
      <c r="E900" s="11" t="s">
        <v>16</v>
      </c>
      <c r="F900" s="12" t="s">
        <v>1599</v>
      </c>
    </row>
    <row r="901" spans="1:6" ht="25.5">
      <c r="A901" s="10" t="str">
        <f>HYPERLINK(SUBSTITUTE(T(hl_0),"{0}","319331970174402"),hn_0)</f>
        <v>ОВ</v>
      </c>
      <c r="B901" s="9">
        <v>10000</v>
      </c>
      <c r="C901" s="11" t="s">
        <v>571</v>
      </c>
      <c r="D901" s="15" t="s">
        <v>1314</v>
      </c>
      <c r="E901" s="11" t="s">
        <v>22</v>
      </c>
      <c r="F901" s="11" t="s">
        <v>1599</v>
      </c>
    </row>
    <row r="902" spans="1:6" ht="38.25">
      <c r="A902" s="10" t="str">
        <f>HYPERLINK(SUBSTITUTE(T(hl_0),"{0}","320331675885619"),hn_0)</f>
        <v>ОВ</v>
      </c>
      <c r="B902" s="9">
        <v>8000</v>
      </c>
      <c r="C902" s="11" t="s">
        <v>571</v>
      </c>
      <c r="D902" s="15" t="s">
        <v>1315</v>
      </c>
      <c r="E902" s="11" t="s">
        <v>23</v>
      </c>
      <c r="F902" s="12" t="s">
        <v>1599</v>
      </c>
    </row>
    <row r="903" spans="1:6" ht="38.25">
      <c r="A903" s="10" t="str">
        <f>HYPERLINK(SUBSTITUTE(T(hl_0),"{0}","320332051018560"),hn_0)</f>
        <v>ОВ</v>
      </c>
      <c r="B903" s="9">
        <v>4800</v>
      </c>
      <c r="C903" s="11" t="s">
        <v>571</v>
      </c>
      <c r="D903" s="15" t="s">
        <v>1316</v>
      </c>
      <c r="E903" s="11" t="s">
        <v>23</v>
      </c>
      <c r="F903" s="12" t="s">
        <v>1599</v>
      </c>
    </row>
    <row r="904" spans="1:6" ht="38.25">
      <c r="A904" s="10" t="str">
        <f>HYPERLINK(SUBSTITUTE(T(hl_0),"{0}","321328183118897"),hn_0)</f>
        <v>ОВ</v>
      </c>
      <c r="B904" s="9">
        <v>7100</v>
      </c>
      <c r="C904" s="11" t="s">
        <v>571</v>
      </c>
      <c r="D904" s="15" t="s">
        <v>1317</v>
      </c>
      <c r="E904" s="11" t="s">
        <v>572</v>
      </c>
      <c r="F904" s="12" t="s">
        <v>1599</v>
      </c>
    </row>
    <row r="905" spans="1:6" ht="38.25">
      <c r="A905" s="10" t="str">
        <f>HYPERLINK(SUBSTITUTE(T(hl_0),"{0}","321331676447856"),hn_0)</f>
        <v>ОВ</v>
      </c>
      <c r="B905" s="9">
        <v>4723</v>
      </c>
      <c r="C905" s="11" t="s">
        <v>571</v>
      </c>
      <c r="D905" s="15" t="s">
        <v>1319</v>
      </c>
      <c r="E905" s="11" t="s">
        <v>20</v>
      </c>
      <c r="F905" s="12" t="s">
        <v>1599</v>
      </c>
    </row>
    <row r="906" spans="1:6" ht="25.5">
      <c r="A906" s="10" t="str">
        <f>HYPERLINK(SUBSTITUTE(T(hl_0),"{0}","321327315290696"),hn_0)</f>
        <v>ОВ</v>
      </c>
      <c r="B906" s="9">
        <v>7000</v>
      </c>
      <c r="C906" s="11" t="s">
        <v>571</v>
      </c>
      <c r="D906" s="15" t="s">
        <v>1318</v>
      </c>
      <c r="E906" s="11" t="s">
        <v>20</v>
      </c>
      <c r="F906" s="12" t="s">
        <v>1599</v>
      </c>
    </row>
    <row r="907" spans="1:6" ht="25.5">
      <c r="A907" s="10" t="str">
        <f>HYPERLINK(SUBSTITUTE(T(hl_0),"{0}","321329805982120"),hn_0)</f>
        <v>ОВ</v>
      </c>
      <c r="B907" s="9">
        <v>7000</v>
      </c>
      <c r="C907" s="11" t="s">
        <v>571</v>
      </c>
      <c r="D907" s="15" t="s">
        <v>1320</v>
      </c>
      <c r="E907" s="11" t="s">
        <v>573</v>
      </c>
      <c r="F907" s="12" t="s">
        <v>1599</v>
      </c>
    </row>
    <row r="908" spans="1:6" ht="51">
      <c r="A908" s="10" t="str">
        <f>HYPERLINK(SUBSTITUTE(T(hl_0),"{0}","322331534110732"),hn_0)</f>
        <v>ОВ</v>
      </c>
      <c r="B908" s="9">
        <v>6000</v>
      </c>
      <c r="C908" s="11" t="s">
        <v>571</v>
      </c>
      <c r="D908" s="15" t="s">
        <v>574</v>
      </c>
      <c r="E908" s="11" t="s">
        <v>575</v>
      </c>
      <c r="F908" s="12" t="s">
        <v>1599</v>
      </c>
    </row>
    <row r="909" spans="1:6" ht="25.5">
      <c r="A909" s="10" t="str">
        <f>HYPERLINK(SUBSTITUTE(T(hl_0),"{0}","323332252274674"),hn_0)</f>
        <v>ОВ</v>
      </c>
      <c r="B909" s="9">
        <v>4899</v>
      </c>
      <c r="C909" s="11" t="s">
        <v>571</v>
      </c>
      <c r="D909" s="15" t="s">
        <v>1321</v>
      </c>
      <c r="E909" s="11" t="s">
        <v>302</v>
      </c>
      <c r="F909" s="11" t="s">
        <v>1599</v>
      </c>
    </row>
    <row r="910" spans="1:6" ht="38.25">
      <c r="A910" s="10" t="str">
        <f>HYPERLINK(SUBSTITUTE(T(hl_0),"{0}","325332053809235"),hn_0)</f>
        <v>ОВ</v>
      </c>
      <c r="B910" s="9">
        <v>8300</v>
      </c>
      <c r="C910" s="11" t="s">
        <v>571</v>
      </c>
      <c r="D910" s="15" t="s">
        <v>1322</v>
      </c>
      <c r="E910" s="11" t="s">
        <v>36</v>
      </c>
      <c r="F910" s="12" t="s">
        <v>1599</v>
      </c>
    </row>
    <row r="911" spans="1:6" ht="25.5">
      <c r="A911" s="10" t="str">
        <f>HYPERLINK(SUBSTITUTE(T(hl_0),"{0}","325326928155867"),hn_0)</f>
        <v>ОВ</v>
      </c>
      <c r="B911" s="9">
        <v>8000</v>
      </c>
      <c r="C911" s="11" t="s">
        <v>571</v>
      </c>
      <c r="D911" s="15" t="s">
        <v>576</v>
      </c>
      <c r="E911" s="11" t="s">
        <v>36</v>
      </c>
      <c r="F911" s="12" t="s">
        <v>1599</v>
      </c>
    </row>
    <row r="912" spans="1:6" ht="25.5">
      <c r="A912" s="10" t="str">
        <f>HYPERLINK(SUBSTITUTE(T(hl_0),"{0}","326331455574471"),hn_0)</f>
        <v>ОВ</v>
      </c>
      <c r="B912" s="9">
        <v>6000</v>
      </c>
      <c r="C912" s="11" t="s">
        <v>571</v>
      </c>
      <c r="D912" s="15" t="s">
        <v>1323</v>
      </c>
      <c r="E912" s="11" t="s">
        <v>258</v>
      </c>
      <c r="F912" s="12" t="s">
        <v>1599</v>
      </c>
    </row>
    <row r="913" spans="1:6" ht="25.5">
      <c r="A913" s="10" t="str">
        <f>HYPERLINK(SUBSTITUTE(T(hl_0),"{0}","326330547784618"),hn_0)</f>
        <v>ОВ</v>
      </c>
      <c r="B913" s="9">
        <v>6000</v>
      </c>
      <c r="C913" s="11" t="s">
        <v>571</v>
      </c>
      <c r="D913" s="15" t="s">
        <v>1323</v>
      </c>
      <c r="E913" s="11" t="s">
        <v>258</v>
      </c>
      <c r="F913" s="12" t="s">
        <v>1599</v>
      </c>
    </row>
    <row r="914" spans="1:6" ht="12.75">
      <c r="A914" s="10" t="str">
        <f>HYPERLINK(SUBSTITUTE(T(hl_0),"{0}","327331676249898"),hn_0)</f>
        <v>ОВ</v>
      </c>
      <c r="B914" s="9">
        <v>8000</v>
      </c>
      <c r="C914" s="11" t="s">
        <v>571</v>
      </c>
      <c r="D914" s="15" t="s">
        <v>577</v>
      </c>
      <c r="E914" s="11" t="s">
        <v>16</v>
      </c>
      <c r="F914" s="12" t="s">
        <v>1599</v>
      </c>
    </row>
    <row r="915" spans="1:6" ht="38.25">
      <c r="A915" s="10" t="str">
        <f>HYPERLINK(SUBSTITUTE(T(hl_0),"{0}","329330334289842"),hn_0)</f>
        <v>ОВ</v>
      </c>
      <c r="B915" s="9">
        <v>7000</v>
      </c>
      <c r="C915" s="11" t="s">
        <v>571</v>
      </c>
      <c r="D915" s="15" t="s">
        <v>578</v>
      </c>
      <c r="E915" s="11" t="s">
        <v>44</v>
      </c>
      <c r="F915" s="11" t="s">
        <v>1599</v>
      </c>
    </row>
    <row r="916" spans="1:6" ht="38.25">
      <c r="A916" s="10" t="str">
        <f>HYPERLINK(SUBSTITUTE(T(hl_0),"{0}","330331648393202"),hn_0)</f>
        <v>ОВ</v>
      </c>
      <c r="B916" s="9">
        <v>6000</v>
      </c>
      <c r="C916" s="11" t="s">
        <v>571</v>
      </c>
      <c r="D916" s="15" t="s">
        <v>1324</v>
      </c>
      <c r="E916" s="11" t="s">
        <v>28</v>
      </c>
      <c r="F916" s="11" t="s">
        <v>1599</v>
      </c>
    </row>
    <row r="917" spans="1:6" ht="25.5">
      <c r="A917" s="10" t="str">
        <f>HYPERLINK(SUBSTITUTE(T(hl_0),"{0}","330327074263559"),hn_0)</f>
        <v>ОВ</v>
      </c>
      <c r="B917" s="9">
        <v>10000</v>
      </c>
      <c r="C917" s="11" t="s">
        <v>571</v>
      </c>
      <c r="D917" s="15" t="s">
        <v>1325</v>
      </c>
      <c r="E917" s="11" t="s">
        <v>45</v>
      </c>
      <c r="F917" s="11" t="s">
        <v>1599</v>
      </c>
    </row>
    <row r="918" spans="1:6" ht="12.75">
      <c r="A918" s="10" t="str">
        <f>HYPERLINK(SUBSTITUTE(T(hl_0),"{0}","331330464722427"),hn_0)</f>
        <v>ОВ</v>
      </c>
      <c r="B918" s="9">
        <v>8000</v>
      </c>
      <c r="C918" s="11" t="s">
        <v>571</v>
      </c>
      <c r="D918" s="15" t="s">
        <v>579</v>
      </c>
      <c r="E918" s="11" t="s">
        <v>38</v>
      </c>
      <c r="F918" s="11" t="s">
        <v>1599</v>
      </c>
    </row>
    <row r="919" spans="1:6" ht="25.5">
      <c r="A919" s="10" t="str">
        <f>HYPERLINK(SUBSTITUTE(T(hl_0),"{0}","334332252308998"),hn_0)</f>
        <v>ОВ</v>
      </c>
      <c r="B919" s="9">
        <v>8000</v>
      </c>
      <c r="C919" s="11" t="s">
        <v>571</v>
      </c>
      <c r="D919" s="15" t="s">
        <v>1326</v>
      </c>
      <c r="E919" s="11" t="s">
        <v>261</v>
      </c>
      <c r="F919" s="11" t="s">
        <v>1599</v>
      </c>
    </row>
    <row r="920" spans="1:6" ht="12.75">
      <c r="A920" s="10" t="str">
        <f>HYPERLINK(SUBSTITUTE(T(hl_0),"{0}","335332316050043"),hn_0)</f>
        <v>ОВ</v>
      </c>
      <c r="B920" s="9">
        <v>6100</v>
      </c>
      <c r="C920" s="11" t="s">
        <v>571</v>
      </c>
      <c r="D920" s="15" t="s">
        <v>580</v>
      </c>
      <c r="E920" s="11" t="s">
        <v>233</v>
      </c>
      <c r="F920" s="11" t="s">
        <v>1599</v>
      </c>
    </row>
    <row r="921" spans="1:6" ht="12.75">
      <c r="A921" s="10" t="str">
        <f>HYPERLINK(SUBSTITUTE(T(hl_0),"{0}","900332170546363"),hn_0)</f>
        <v>ОВ</v>
      </c>
      <c r="B921" s="9">
        <v>8000</v>
      </c>
      <c r="C921" s="11" t="s">
        <v>571</v>
      </c>
      <c r="D921" s="15" t="s">
        <v>581</v>
      </c>
      <c r="E921" s="11" t="s">
        <v>582</v>
      </c>
      <c r="F921" s="12" t="s">
        <v>1599</v>
      </c>
    </row>
    <row r="922" spans="1:6" ht="12.75">
      <c r="A922" s="10" t="str">
        <f>HYPERLINK(SUBSTITUTE(T(hl_0),"{0}","900332172711647"),hn_0)</f>
        <v>ОВ</v>
      </c>
      <c r="B922" s="9">
        <v>5000</v>
      </c>
      <c r="C922" s="11" t="s">
        <v>571</v>
      </c>
      <c r="D922" s="15" t="s">
        <v>583</v>
      </c>
      <c r="E922" s="11" t="s">
        <v>16</v>
      </c>
      <c r="F922" s="12" t="s">
        <v>1599</v>
      </c>
    </row>
    <row r="923" spans="1:6" ht="38.25">
      <c r="A923" s="10" t="str">
        <f>HYPERLINK(SUBSTITUTE(T(hl_0),"{0}","900331794754956"),hn_0)</f>
        <v>ОВ</v>
      </c>
      <c r="B923" s="9">
        <v>9000</v>
      </c>
      <c r="C923" s="11" t="s">
        <v>571</v>
      </c>
      <c r="D923" s="15" t="s">
        <v>584</v>
      </c>
      <c r="E923" s="11" t="s">
        <v>16</v>
      </c>
      <c r="F923" s="12" t="s">
        <v>1599</v>
      </c>
    </row>
    <row r="924" spans="1:6" ht="12.75">
      <c r="A924" s="10" t="str">
        <f>HYPERLINK(SUBSTITUTE(T(hl_0),"{0}","900332196006505"),hn_0)</f>
        <v>ОВ</v>
      </c>
      <c r="B924" s="9">
        <v>4723</v>
      </c>
      <c r="C924" s="11" t="s">
        <v>571</v>
      </c>
      <c r="D924" s="15" t="s">
        <v>585</v>
      </c>
      <c r="E924" s="11" t="s">
        <v>16</v>
      </c>
      <c r="F924" s="12" t="s">
        <v>1599</v>
      </c>
    </row>
    <row r="925" spans="1:6" ht="25.5">
      <c r="A925" s="10" t="str">
        <f>HYPERLINK(SUBSTITUTE(T(hl_0),"{0}","900332024576528"),hn_0)</f>
        <v>ОВ</v>
      </c>
      <c r="B925" s="9">
        <v>10000</v>
      </c>
      <c r="C925" s="11" t="s">
        <v>571</v>
      </c>
      <c r="D925" s="15" t="s">
        <v>586</v>
      </c>
      <c r="E925" s="11" t="s">
        <v>16</v>
      </c>
      <c r="F925" s="12" t="s">
        <v>1599</v>
      </c>
    </row>
    <row r="926" spans="1:6" ht="12.75">
      <c r="A926" s="10" t="str">
        <f>HYPERLINK(SUBSTITUTE(T(hl_0),"{0}","900332172711661"),hn_0)</f>
        <v>ОВ</v>
      </c>
      <c r="B926" s="9">
        <v>5000</v>
      </c>
      <c r="C926" s="11" t="s">
        <v>571</v>
      </c>
      <c r="D926" s="15" t="s">
        <v>583</v>
      </c>
      <c r="E926" s="11" t="s">
        <v>16</v>
      </c>
      <c r="F926" s="12" t="s">
        <v>1599</v>
      </c>
    </row>
    <row r="927" spans="1:6" ht="25.5">
      <c r="A927" s="10" t="str">
        <f>HYPERLINK(SUBSTITUTE(T(hl_0),"{0}","900329942047813"),hn_0)</f>
        <v>ОВ</v>
      </c>
      <c r="B927" s="9">
        <v>7000</v>
      </c>
      <c r="C927" s="11" t="s">
        <v>587</v>
      </c>
      <c r="D927" s="15" t="s">
        <v>588</v>
      </c>
      <c r="E927" s="11" t="s">
        <v>16</v>
      </c>
      <c r="F927" s="12" t="s">
        <v>1599</v>
      </c>
    </row>
    <row r="928" spans="1:6" ht="25.5">
      <c r="A928" s="10" t="str">
        <f>HYPERLINK(SUBSTITUTE(T(hl_0),"{0}","900329942103738"),hn_0)</f>
        <v>ОВ</v>
      </c>
      <c r="B928" s="9">
        <v>7000</v>
      </c>
      <c r="C928" s="11" t="s">
        <v>587</v>
      </c>
      <c r="D928" s="15" t="s">
        <v>588</v>
      </c>
      <c r="E928" s="11" t="s">
        <v>16</v>
      </c>
      <c r="F928" s="12" t="s">
        <v>1599</v>
      </c>
    </row>
    <row r="929" spans="1:6" ht="25.5">
      <c r="A929" s="10" t="str">
        <f>HYPERLINK(SUBSTITUTE(T(hl_0),"{0}","319331364111473"),hn_0)</f>
        <v>ОВ</v>
      </c>
      <c r="B929" s="9">
        <v>5726</v>
      </c>
      <c r="C929" s="11" t="s">
        <v>589</v>
      </c>
      <c r="D929" s="15" t="s">
        <v>1327</v>
      </c>
      <c r="E929" s="11" t="s">
        <v>22</v>
      </c>
      <c r="F929" s="11" t="s">
        <v>1599</v>
      </c>
    </row>
    <row r="930" spans="1:6" ht="12.75">
      <c r="A930" s="10" t="str">
        <f>HYPERLINK(SUBSTITUTE(T(hl_0),"{0}","320332173078740"),hn_0)</f>
        <v>ОВ</v>
      </c>
      <c r="B930" s="9">
        <v>5900</v>
      </c>
      <c r="C930" s="11" t="s">
        <v>589</v>
      </c>
      <c r="D930" s="15" t="s">
        <v>590</v>
      </c>
      <c r="E930" s="11" t="s">
        <v>23</v>
      </c>
      <c r="F930" s="12" t="s">
        <v>1599</v>
      </c>
    </row>
    <row r="931" spans="1:6" ht="25.5">
      <c r="A931" s="10" t="str">
        <f>HYPERLINK(SUBSTITUTE(T(hl_0),"{0}","325327988658289"),hn_0)</f>
        <v>ОВ</v>
      </c>
      <c r="B931" s="9">
        <v>4770</v>
      </c>
      <c r="C931" s="11" t="s">
        <v>591</v>
      </c>
      <c r="D931" s="15" t="s">
        <v>1328</v>
      </c>
      <c r="E931" s="11" t="s">
        <v>592</v>
      </c>
      <c r="F931" s="12" t="s">
        <v>1599</v>
      </c>
    </row>
    <row r="932" spans="1:6" ht="12.75">
      <c r="A932" s="10" t="str">
        <f>HYPERLINK(SUBSTITUTE(T(hl_0),"{0}","900331651623437"),hn_0)</f>
        <v>ОВ</v>
      </c>
      <c r="B932" s="9">
        <v>5660</v>
      </c>
      <c r="C932" s="11" t="s">
        <v>591</v>
      </c>
      <c r="D932" s="15" t="s">
        <v>593</v>
      </c>
      <c r="E932" s="11" t="s">
        <v>79</v>
      </c>
      <c r="F932" s="12" t="s">
        <v>1599</v>
      </c>
    </row>
    <row r="933" spans="1:6" ht="12.75">
      <c r="A933" s="10" t="str">
        <f>HYPERLINK(SUBSTITUTE(T(hl_0),"{0}","900332173478098"),hn_0)</f>
        <v>ОВ</v>
      </c>
      <c r="B933" s="9">
        <v>5660</v>
      </c>
      <c r="C933" s="11" t="s">
        <v>591</v>
      </c>
      <c r="D933" s="15" t="s">
        <v>594</v>
      </c>
      <c r="E933" s="11" t="s">
        <v>16</v>
      </c>
      <c r="F933" s="12" t="s">
        <v>1599</v>
      </c>
    </row>
    <row r="934" spans="1:6" ht="12.75">
      <c r="A934" s="10" t="str">
        <f>HYPERLINK(SUBSTITUTE(T(hl_0),"{0}","900331651686054"),hn_0)</f>
        <v>ОВ</v>
      </c>
      <c r="B934" s="9">
        <v>5660</v>
      </c>
      <c r="C934" s="11" t="s">
        <v>591</v>
      </c>
      <c r="D934" s="15" t="s">
        <v>595</v>
      </c>
      <c r="E934" s="11" t="s">
        <v>596</v>
      </c>
      <c r="F934" s="12" t="s">
        <v>1599</v>
      </c>
    </row>
    <row r="935" spans="1:6" ht="12.75">
      <c r="A935" s="10" t="str">
        <f>HYPERLINK(SUBSTITUTE(T(hl_0),"{0}","900331651672576"),hn_0)</f>
        <v>ОВ</v>
      </c>
      <c r="B935" s="9">
        <v>5660</v>
      </c>
      <c r="C935" s="11" t="s">
        <v>591</v>
      </c>
      <c r="D935" s="15" t="s">
        <v>597</v>
      </c>
      <c r="E935" s="11" t="s">
        <v>547</v>
      </c>
      <c r="F935" s="12" t="s">
        <v>1599</v>
      </c>
    </row>
    <row r="936" spans="1:6" ht="12.75">
      <c r="A936" s="10" t="str">
        <f>HYPERLINK(SUBSTITUTE(T(hl_0),"{0}","900331651639490"),hn_0)</f>
        <v>ОВ</v>
      </c>
      <c r="B936" s="9">
        <v>5660</v>
      </c>
      <c r="C936" s="11" t="s">
        <v>591</v>
      </c>
      <c r="D936" s="15" t="s">
        <v>598</v>
      </c>
      <c r="E936" s="11" t="s">
        <v>599</v>
      </c>
      <c r="F936" s="12" t="s">
        <v>1599</v>
      </c>
    </row>
    <row r="937" spans="1:6" ht="12.75">
      <c r="A937" s="10" t="str">
        <f>HYPERLINK(SUBSTITUTE(T(hl_0),"{0}","900331651567182"),hn_0)</f>
        <v>ОВ</v>
      </c>
      <c r="B937" s="9">
        <v>5660</v>
      </c>
      <c r="C937" s="11" t="s">
        <v>591</v>
      </c>
      <c r="D937" s="15" t="s">
        <v>600</v>
      </c>
      <c r="E937" s="11" t="s">
        <v>601</v>
      </c>
      <c r="F937" s="12" t="s">
        <v>1599</v>
      </c>
    </row>
    <row r="938" spans="1:6" ht="12.75">
      <c r="A938" s="10" t="str">
        <f>HYPERLINK(SUBSTITUTE(T(hl_0),"{0}","900331651595037"),hn_0)</f>
        <v>ОВ</v>
      </c>
      <c r="B938" s="9">
        <v>5660</v>
      </c>
      <c r="C938" s="11" t="s">
        <v>591</v>
      </c>
      <c r="D938" s="15" t="s">
        <v>602</v>
      </c>
      <c r="E938" s="11" t="s">
        <v>42</v>
      </c>
      <c r="F938" s="12" t="s">
        <v>1599</v>
      </c>
    </row>
    <row r="939" spans="1:6" ht="25.5">
      <c r="A939" s="10" t="str">
        <f>HYPERLINK(SUBSTITUTE(T(hl_0),"{0}","900332171448157"),hn_0)</f>
        <v>ОВ</v>
      </c>
      <c r="B939" s="9">
        <v>5590</v>
      </c>
      <c r="C939" s="11" t="s">
        <v>603</v>
      </c>
      <c r="D939" s="15" t="s">
        <v>604</v>
      </c>
      <c r="E939" s="11" t="s">
        <v>16</v>
      </c>
      <c r="F939" s="12" t="s">
        <v>1599</v>
      </c>
    </row>
    <row r="940" spans="1:6" ht="38.25">
      <c r="A940" s="10" t="str">
        <f>HYPERLINK(SUBSTITUTE(T(hl_0),"{0}","900327790768120"),hn_0)</f>
        <v>ОВ</v>
      </c>
      <c r="B940" s="9">
        <v>6380</v>
      </c>
      <c r="C940" s="11" t="s">
        <v>605</v>
      </c>
      <c r="D940" s="15" t="s">
        <v>1329</v>
      </c>
      <c r="E940" s="11" t="s">
        <v>16</v>
      </c>
      <c r="F940" s="12" t="s">
        <v>1599</v>
      </c>
    </row>
    <row r="941" spans="1:6" ht="38.25">
      <c r="A941" s="10" t="str">
        <f>HYPERLINK(SUBSTITUTE(T(hl_0),"{0}","320332147637785"),hn_0)</f>
        <v>ОВ</v>
      </c>
      <c r="B941" s="9">
        <v>6100</v>
      </c>
      <c r="C941" s="11" t="s">
        <v>606</v>
      </c>
      <c r="D941" s="15" t="s">
        <v>1330</v>
      </c>
      <c r="E941" s="11" t="s">
        <v>23</v>
      </c>
      <c r="F941" s="12" t="s">
        <v>1599</v>
      </c>
    </row>
    <row r="942" spans="1:6" ht="25.5">
      <c r="A942" s="10" t="str">
        <f>HYPERLINK(SUBSTITUTE(T(hl_0),"{0}","900331651392555"),hn_0)</f>
        <v>ОВ</v>
      </c>
      <c r="B942" s="9">
        <v>5660</v>
      </c>
      <c r="C942" s="11" t="s">
        <v>607</v>
      </c>
      <c r="D942" s="15" t="s">
        <v>608</v>
      </c>
      <c r="E942" s="11" t="s">
        <v>609</v>
      </c>
      <c r="F942" s="12" t="s">
        <v>1599</v>
      </c>
    </row>
    <row r="943" spans="1:6" ht="25.5">
      <c r="A943" s="10" t="str">
        <f>HYPERLINK(SUBSTITUTE(T(hl_0),"{0}","900331651391662"),hn_0)</f>
        <v>ОВ</v>
      </c>
      <c r="B943" s="9">
        <v>5660</v>
      </c>
      <c r="C943" s="11" t="s">
        <v>607</v>
      </c>
      <c r="D943" s="15" t="s">
        <v>610</v>
      </c>
      <c r="E943" s="11" t="s">
        <v>611</v>
      </c>
      <c r="F943" s="12" t="s">
        <v>1599</v>
      </c>
    </row>
    <row r="944" spans="1:6" ht="63.75">
      <c r="A944" s="10" t="str">
        <f>HYPERLINK(SUBSTITUTE(T(hl_0),"{0}","332328502290207"),hn_0)</f>
        <v>ОВ</v>
      </c>
      <c r="B944" s="9">
        <v>15000</v>
      </c>
      <c r="C944" s="11" t="s">
        <v>612</v>
      </c>
      <c r="D944" s="15" t="s">
        <v>613</v>
      </c>
      <c r="E944" s="11" t="s">
        <v>14</v>
      </c>
      <c r="F944" s="11" t="s">
        <v>1599</v>
      </c>
    </row>
    <row r="945" spans="1:6" ht="51">
      <c r="A945" s="10" t="str">
        <f>HYPERLINK(SUBSTITUTE(T(hl_0),"{0}","900331792065522"),hn_0)</f>
        <v>ОВ</v>
      </c>
      <c r="B945" s="9">
        <v>12000</v>
      </c>
      <c r="C945" s="11" t="s">
        <v>614</v>
      </c>
      <c r="D945" s="15" t="s">
        <v>615</v>
      </c>
      <c r="E945" s="11" t="s">
        <v>16</v>
      </c>
      <c r="F945" s="12" t="s">
        <v>1599</v>
      </c>
    </row>
    <row r="946" spans="1:6" ht="25.5">
      <c r="A946" s="10" t="str">
        <f>HYPERLINK(SUBSTITUTE(T(hl_0),"{0}","327329503551795"),hn_0)</f>
        <v>ОВ</v>
      </c>
      <c r="B946" s="9">
        <v>5200</v>
      </c>
      <c r="C946" s="11" t="s">
        <v>616</v>
      </c>
      <c r="D946" s="15" t="s">
        <v>617</v>
      </c>
      <c r="E946" s="11" t="s">
        <v>42</v>
      </c>
      <c r="F946" s="12" t="s">
        <v>1599</v>
      </c>
    </row>
    <row r="947" spans="1:6" ht="25.5">
      <c r="A947" s="10" t="str">
        <f>HYPERLINK(SUBSTITUTE(T(hl_0),"{0}","900332170847942"),hn_0)</f>
        <v>ОВ</v>
      </c>
      <c r="B947" s="9">
        <v>12000</v>
      </c>
      <c r="C947" s="11" t="s">
        <v>616</v>
      </c>
      <c r="D947" s="15" t="s">
        <v>618</v>
      </c>
      <c r="E947" s="11" t="s">
        <v>16</v>
      </c>
      <c r="F947" s="12" t="s">
        <v>1599</v>
      </c>
    </row>
    <row r="948" spans="1:6" ht="51">
      <c r="A948" s="10" t="str">
        <f>HYPERLINK(SUBSTITUTE(T(hl_0),"{0}","900332170781476"),hn_0)</f>
        <v>ОВ</v>
      </c>
      <c r="B948" s="9">
        <v>5000</v>
      </c>
      <c r="C948" s="11" t="s">
        <v>616</v>
      </c>
      <c r="D948" s="15" t="s">
        <v>619</v>
      </c>
      <c r="E948" s="11" t="s">
        <v>254</v>
      </c>
      <c r="F948" s="12" t="s">
        <v>1599</v>
      </c>
    </row>
    <row r="949" spans="1:6" ht="38.25">
      <c r="A949" s="10" t="str">
        <f>HYPERLINK(SUBSTITUTE(T(hl_0),"{0}","330331846609272"),hn_0)</f>
        <v>ОВ</v>
      </c>
      <c r="B949" s="9">
        <v>4723</v>
      </c>
      <c r="C949" s="11" t="s">
        <v>620</v>
      </c>
      <c r="D949" s="15" t="s">
        <v>1331</v>
      </c>
      <c r="E949" s="11" t="s">
        <v>45</v>
      </c>
      <c r="F949" s="11" t="s">
        <v>1599</v>
      </c>
    </row>
    <row r="950" spans="1:6" ht="38.25">
      <c r="A950" s="10" t="str">
        <f>HYPERLINK(SUBSTITUTE(T(hl_0),"{0}","320331648651641"),hn_0)</f>
        <v>ОВ</v>
      </c>
      <c r="B950" s="9">
        <v>13000</v>
      </c>
      <c r="C950" s="11" t="s">
        <v>621</v>
      </c>
      <c r="D950" s="15" t="s">
        <v>1332</v>
      </c>
      <c r="E950" s="11" t="s">
        <v>23</v>
      </c>
      <c r="F950" s="12" t="s">
        <v>1599</v>
      </c>
    </row>
    <row r="951" spans="1:6" ht="38.25">
      <c r="A951" s="10" t="str">
        <f>HYPERLINK(SUBSTITUTE(T(hl_0),"{0}","320331648654436"),hn_0)</f>
        <v>ОВ</v>
      </c>
      <c r="B951" s="9">
        <v>13000</v>
      </c>
      <c r="C951" s="11" t="s">
        <v>621</v>
      </c>
      <c r="D951" s="15" t="s">
        <v>1332</v>
      </c>
      <c r="E951" s="11" t="s">
        <v>23</v>
      </c>
      <c r="F951" s="12" t="s">
        <v>1599</v>
      </c>
    </row>
    <row r="952" spans="1:6" ht="63.75">
      <c r="A952" s="10" t="str">
        <f>HYPERLINK(SUBSTITUTE(T(hl_0),"{0}","326327362549516"),hn_0)</f>
        <v>ОВ</v>
      </c>
      <c r="B952" s="9">
        <v>8000</v>
      </c>
      <c r="C952" s="11" t="s">
        <v>621</v>
      </c>
      <c r="D952" s="15" t="s">
        <v>1333</v>
      </c>
      <c r="E952" s="11" t="s">
        <v>622</v>
      </c>
      <c r="F952" s="12" t="s">
        <v>1599</v>
      </c>
    </row>
    <row r="953" spans="1:6" ht="12.75">
      <c r="A953" s="10" t="str">
        <f>HYPERLINK(SUBSTITUTE(T(hl_0),"{0}","331332197878756"),hn_0)</f>
        <v>ОВ</v>
      </c>
      <c r="B953" s="9">
        <v>9400</v>
      </c>
      <c r="C953" s="11" t="s">
        <v>621</v>
      </c>
      <c r="D953" s="15" t="s">
        <v>623</v>
      </c>
      <c r="E953" s="11" t="s">
        <v>624</v>
      </c>
      <c r="F953" s="11" t="s">
        <v>1599</v>
      </c>
    </row>
    <row r="954" spans="1:6" ht="51">
      <c r="A954" s="10" t="str">
        <f>HYPERLINK(SUBSTITUTE(T(hl_0),"{0}","332327619228877"),hn_0)</f>
        <v>ОВ</v>
      </c>
      <c r="B954" s="9">
        <v>4723</v>
      </c>
      <c r="C954" s="11" t="s">
        <v>625</v>
      </c>
      <c r="D954" s="15" t="s">
        <v>1334</v>
      </c>
      <c r="E954" s="11" t="s">
        <v>14</v>
      </c>
      <c r="F954" s="11" t="s">
        <v>1599</v>
      </c>
    </row>
    <row r="955" spans="1:6" ht="76.5">
      <c r="A955" s="10" t="str">
        <f>HYPERLINK(SUBSTITUTE(T(hl_0),"{0}","330331967031237"),hn_0)</f>
        <v>ОВ</v>
      </c>
      <c r="B955" s="9">
        <v>4723</v>
      </c>
      <c r="C955" s="11" t="s">
        <v>626</v>
      </c>
      <c r="D955" s="15" t="s">
        <v>1335</v>
      </c>
      <c r="E955" s="11" t="s">
        <v>45</v>
      </c>
      <c r="F955" s="11" t="s">
        <v>1599</v>
      </c>
    </row>
    <row r="956" spans="1:6" ht="51">
      <c r="A956" s="10" t="str">
        <f>HYPERLINK(SUBSTITUTE(T(hl_0),"{0}","330331966897552"),hn_0)</f>
        <v>ОВ</v>
      </c>
      <c r="B956" s="9">
        <v>4723</v>
      </c>
      <c r="C956" s="11" t="s">
        <v>627</v>
      </c>
      <c r="D956" s="15" t="s">
        <v>1336</v>
      </c>
      <c r="E956" s="11" t="s">
        <v>45</v>
      </c>
      <c r="F956" s="11" t="s">
        <v>1599</v>
      </c>
    </row>
    <row r="957" spans="1:6" ht="25.5">
      <c r="A957" s="10" t="str">
        <f>HYPERLINK(SUBSTITUTE(T(hl_0),"{0}","320331701745226"),hn_0)</f>
        <v>ОВ</v>
      </c>
      <c r="B957" s="9">
        <v>5000</v>
      </c>
      <c r="C957" s="11" t="s">
        <v>628</v>
      </c>
      <c r="D957" s="15" t="s">
        <v>1337</v>
      </c>
      <c r="E957" s="11" t="s">
        <v>23</v>
      </c>
      <c r="F957" s="12" t="s">
        <v>1599</v>
      </c>
    </row>
    <row r="958" spans="1:6" ht="25.5">
      <c r="A958" s="10" t="str">
        <f>HYPERLINK(SUBSTITUTE(T(hl_0),"{0}","320331701745598"),hn_0)</f>
        <v>ОВ</v>
      </c>
      <c r="B958" s="9">
        <v>5000</v>
      </c>
      <c r="C958" s="11" t="s">
        <v>628</v>
      </c>
      <c r="D958" s="15" t="s">
        <v>1337</v>
      </c>
      <c r="E958" s="11" t="s">
        <v>23</v>
      </c>
      <c r="F958" s="12" t="s">
        <v>1599</v>
      </c>
    </row>
    <row r="959" spans="1:6" ht="25.5">
      <c r="A959" s="10" t="str">
        <f>HYPERLINK(SUBSTITUTE(T(hl_0),"{0}","320331701745299"),hn_0)</f>
        <v>ОВ</v>
      </c>
      <c r="B959" s="9">
        <v>5000</v>
      </c>
      <c r="C959" s="11" t="s">
        <v>628</v>
      </c>
      <c r="D959" s="15" t="s">
        <v>1337</v>
      </c>
      <c r="E959" s="11" t="s">
        <v>23</v>
      </c>
      <c r="F959" s="12" t="s">
        <v>1599</v>
      </c>
    </row>
    <row r="960" spans="1:6" ht="25.5">
      <c r="A960" s="10" t="str">
        <f>HYPERLINK(SUBSTITUTE(T(hl_0),"{0}","320331701679991"),hn_0)</f>
        <v>ОВ</v>
      </c>
      <c r="B960" s="9">
        <v>5000</v>
      </c>
      <c r="C960" s="11" t="s">
        <v>628</v>
      </c>
      <c r="D960" s="15" t="s">
        <v>1337</v>
      </c>
      <c r="E960" s="11" t="s">
        <v>23</v>
      </c>
      <c r="F960" s="12" t="s">
        <v>1599</v>
      </c>
    </row>
    <row r="961" spans="1:6" ht="12.75">
      <c r="A961" s="10" t="str">
        <f>HYPERLINK(SUBSTITUTE(T(hl_0),"{0}","900327488946004"),hn_0)</f>
        <v>ОВ</v>
      </c>
      <c r="B961" s="9">
        <v>5700</v>
      </c>
      <c r="C961" s="11" t="s">
        <v>628</v>
      </c>
      <c r="D961" s="15" t="s">
        <v>629</v>
      </c>
      <c r="E961" s="11" t="s">
        <v>16</v>
      </c>
      <c r="F961" s="12" t="s">
        <v>1599</v>
      </c>
    </row>
    <row r="962" spans="1:6" ht="63.75">
      <c r="A962" s="10" t="str">
        <f>HYPERLINK(SUBSTITUTE(T(hl_0),"{0}","321327315415013"),hn_0)</f>
        <v>ОВ</v>
      </c>
      <c r="B962" s="9">
        <v>12000</v>
      </c>
      <c r="C962" s="11" t="s">
        <v>630</v>
      </c>
      <c r="D962" s="15" t="s">
        <v>631</v>
      </c>
      <c r="E962" s="11" t="s">
        <v>64</v>
      </c>
      <c r="F962" s="12" t="s">
        <v>1599</v>
      </c>
    </row>
    <row r="963" spans="1:6" ht="25.5">
      <c r="A963" s="10" t="str">
        <f>HYPERLINK(SUBSTITUTE(T(hl_0),"{0}","322331559346303"),hn_0)</f>
        <v>ОВ</v>
      </c>
      <c r="B963" s="9">
        <v>5600</v>
      </c>
      <c r="C963" s="11" t="s">
        <v>632</v>
      </c>
      <c r="D963" s="15" t="s">
        <v>633</v>
      </c>
      <c r="E963" s="11" t="s">
        <v>379</v>
      </c>
      <c r="F963" s="12" t="s">
        <v>1599</v>
      </c>
    </row>
    <row r="964" spans="1:6" ht="12.75">
      <c r="A964" s="10" t="str">
        <f>HYPERLINK(SUBSTITUTE(T(hl_0),"{0}","331332146142636"),hn_0)</f>
        <v>ОВ</v>
      </c>
      <c r="B964" s="9">
        <v>6000</v>
      </c>
      <c r="C964" s="11" t="s">
        <v>632</v>
      </c>
      <c r="D964" s="15" t="s">
        <v>634</v>
      </c>
      <c r="E964" s="11" t="s">
        <v>38</v>
      </c>
      <c r="F964" s="11" t="s">
        <v>1599</v>
      </c>
    </row>
    <row r="965" spans="1:6" ht="12.75">
      <c r="A965" s="10" t="str">
        <f>HYPERLINK(SUBSTITUTE(T(hl_0),"{0}","331332078822125"),hn_0)</f>
        <v>ОВ</v>
      </c>
      <c r="B965" s="9">
        <v>6000</v>
      </c>
      <c r="C965" s="11" t="s">
        <v>632</v>
      </c>
      <c r="D965" s="15" t="s">
        <v>634</v>
      </c>
      <c r="E965" s="11" t="s">
        <v>38</v>
      </c>
      <c r="F965" s="11" t="s">
        <v>1599</v>
      </c>
    </row>
    <row r="966" spans="1:6" ht="38.25">
      <c r="A966" s="10" t="str">
        <f>HYPERLINK(SUBSTITUTE(T(hl_0),"{0}","321327791221504"),hn_0)</f>
        <v>ОВ</v>
      </c>
      <c r="B966" s="9">
        <v>5000</v>
      </c>
      <c r="C966" s="11" t="s">
        <v>635</v>
      </c>
      <c r="D966" s="15" t="s">
        <v>636</v>
      </c>
      <c r="E966" s="11" t="s">
        <v>20</v>
      </c>
      <c r="F966" s="12" t="s">
        <v>1599</v>
      </c>
    </row>
    <row r="967" spans="1:6" ht="25.5">
      <c r="A967" s="10" t="str">
        <f>HYPERLINK(SUBSTITUTE(T(hl_0),"{0}","327330635021583"),hn_0)</f>
        <v>ОВ</v>
      </c>
      <c r="B967" s="9">
        <v>7000</v>
      </c>
      <c r="C967" s="11" t="s">
        <v>637</v>
      </c>
      <c r="D967" s="15" t="s">
        <v>638</v>
      </c>
      <c r="E967" s="11" t="s">
        <v>16</v>
      </c>
      <c r="F967" s="12" t="s">
        <v>1599</v>
      </c>
    </row>
    <row r="968" spans="1:6" ht="51">
      <c r="A968" s="10" t="str">
        <f>HYPERLINK(SUBSTITUTE(T(hl_0),"{0}","332327315183661"),hn_0)</f>
        <v>ОВ</v>
      </c>
      <c r="B968" s="9">
        <v>8000</v>
      </c>
      <c r="C968" s="11" t="s">
        <v>637</v>
      </c>
      <c r="D968" s="15" t="s">
        <v>1338</v>
      </c>
      <c r="E968" s="11" t="s">
        <v>50</v>
      </c>
      <c r="F968" s="11" t="s">
        <v>1599</v>
      </c>
    </row>
    <row r="969" spans="1:6" ht="38.25">
      <c r="A969" s="10" t="str">
        <f>HYPERLINK(SUBSTITUTE(T(hl_0),"{0}","900325739294150"),hn_0)</f>
        <v>ОВ</v>
      </c>
      <c r="B969" s="9">
        <v>4723</v>
      </c>
      <c r="C969" s="11" t="s">
        <v>639</v>
      </c>
      <c r="D969" s="15" t="s">
        <v>640</v>
      </c>
      <c r="E969" s="11" t="s">
        <v>16</v>
      </c>
      <c r="F969" s="12" t="s">
        <v>1599</v>
      </c>
    </row>
    <row r="970" spans="1:6" ht="38.25">
      <c r="A970" s="10" t="str">
        <f>HYPERLINK(SUBSTITUTE(T(hl_0),"{0}","321331726603574"),hn_0)</f>
        <v>ОВ</v>
      </c>
      <c r="B970" s="9">
        <v>5000</v>
      </c>
      <c r="C970" s="11" t="s">
        <v>641</v>
      </c>
      <c r="D970" s="15" t="s">
        <v>642</v>
      </c>
      <c r="E970" s="11" t="s">
        <v>20</v>
      </c>
      <c r="F970" s="12" t="s">
        <v>1599</v>
      </c>
    </row>
    <row r="971" spans="1:6" ht="51">
      <c r="A971" s="10" t="str">
        <f>HYPERLINK(SUBSTITUTE(T(hl_0),"{0}","326331650800789"),hn_0)</f>
        <v>ОВ</v>
      </c>
      <c r="B971" s="9">
        <v>5500</v>
      </c>
      <c r="C971" s="11" t="s">
        <v>641</v>
      </c>
      <c r="D971" s="15" t="s">
        <v>1339</v>
      </c>
      <c r="E971" s="11" t="s">
        <v>622</v>
      </c>
      <c r="F971" s="12" t="s">
        <v>1599</v>
      </c>
    </row>
    <row r="972" spans="1:6" ht="25.5">
      <c r="A972" s="10" t="str">
        <f>HYPERLINK(SUBSTITUTE(T(hl_0),"{0}","900332080239226"),hn_0)</f>
        <v>ОВ</v>
      </c>
      <c r="B972" s="9">
        <v>4723</v>
      </c>
      <c r="C972" s="11" t="s">
        <v>643</v>
      </c>
      <c r="D972" s="15" t="s">
        <v>644</v>
      </c>
      <c r="E972" s="11" t="s">
        <v>91</v>
      </c>
      <c r="F972" s="12" t="s">
        <v>1599</v>
      </c>
    </row>
    <row r="973" spans="1:6" ht="38.25">
      <c r="A973" s="10" t="str">
        <f>HYPERLINK(SUBSTITUTE(T(hl_0),"{0}","330331676061249"),hn_0)</f>
        <v>ОВ</v>
      </c>
      <c r="B973" s="9">
        <v>4723</v>
      </c>
      <c r="C973" s="11" t="s">
        <v>645</v>
      </c>
      <c r="D973" s="15" t="s">
        <v>646</v>
      </c>
      <c r="E973" s="11" t="s">
        <v>647</v>
      </c>
      <c r="F973" s="11" t="s">
        <v>1599</v>
      </c>
    </row>
    <row r="974" spans="1:6" ht="25.5">
      <c r="A974" s="10" t="str">
        <f>HYPERLINK(SUBSTITUTE(T(hl_0),"{0}","334330999105985"),hn_0)</f>
        <v>ОВ</v>
      </c>
      <c r="B974" s="9">
        <v>7000</v>
      </c>
      <c r="C974" s="11" t="s">
        <v>648</v>
      </c>
      <c r="D974" s="15" t="s">
        <v>1340</v>
      </c>
      <c r="E974" s="11" t="s">
        <v>261</v>
      </c>
      <c r="F974" s="11" t="s">
        <v>1599</v>
      </c>
    </row>
    <row r="975" spans="1:6" ht="12.75">
      <c r="A975" s="10" t="str">
        <f>HYPERLINK(SUBSTITUTE(T(hl_0),"{0}","900331558772605"),hn_0)</f>
        <v>ОВ</v>
      </c>
      <c r="B975" s="9">
        <v>12000</v>
      </c>
      <c r="C975" s="11" t="s">
        <v>648</v>
      </c>
      <c r="D975" s="15" t="s">
        <v>649</v>
      </c>
      <c r="E975" s="11" t="s">
        <v>16</v>
      </c>
      <c r="F975" s="12" t="s">
        <v>1599</v>
      </c>
    </row>
    <row r="976" spans="1:6" ht="25.5">
      <c r="A976" s="10" t="str">
        <f>HYPERLINK(SUBSTITUTE(T(hl_0),"{0}","900331165394008"),hn_0)</f>
        <v>ОВ</v>
      </c>
      <c r="B976" s="9">
        <v>8000</v>
      </c>
      <c r="C976" s="11" t="s">
        <v>650</v>
      </c>
      <c r="D976" s="15" t="s">
        <v>651</v>
      </c>
      <c r="E976" s="11" t="s">
        <v>16</v>
      </c>
      <c r="F976" s="12" t="s">
        <v>1599</v>
      </c>
    </row>
    <row r="977" spans="1:6" ht="12.75">
      <c r="A977" s="10" t="str">
        <f>HYPERLINK(SUBSTITUTE(T(hl_0),"{0}","319332223922686"),hn_0)</f>
        <v>ОВ</v>
      </c>
      <c r="B977" s="9">
        <v>7000</v>
      </c>
      <c r="C977" s="11" t="s">
        <v>652</v>
      </c>
      <c r="D977" s="15" t="s">
        <v>1341</v>
      </c>
      <c r="E977" s="11" t="s">
        <v>22</v>
      </c>
      <c r="F977" s="11" t="s">
        <v>1599</v>
      </c>
    </row>
    <row r="978" spans="1:6" ht="25.5">
      <c r="A978" s="10" t="str">
        <f>HYPERLINK(SUBSTITUTE(T(hl_0),"{0}","321331995434197"),hn_0)</f>
        <v>ОВ</v>
      </c>
      <c r="B978" s="9">
        <v>8000</v>
      </c>
      <c r="C978" s="11" t="s">
        <v>652</v>
      </c>
      <c r="D978" s="15" t="s">
        <v>1342</v>
      </c>
      <c r="E978" s="11" t="s">
        <v>409</v>
      </c>
      <c r="F978" s="12" t="s">
        <v>1599</v>
      </c>
    </row>
    <row r="979" spans="1:6" ht="12.75">
      <c r="A979" s="10" t="str">
        <f>HYPERLINK(SUBSTITUTE(T(hl_0),"{0}","329331389346320"),hn_0)</f>
        <v>ОВ</v>
      </c>
      <c r="B979" s="9">
        <v>8000</v>
      </c>
      <c r="C979" s="11" t="s">
        <v>652</v>
      </c>
      <c r="D979" s="15" t="s">
        <v>653</v>
      </c>
      <c r="E979" s="11" t="s">
        <v>44</v>
      </c>
      <c r="F979" s="11" t="s">
        <v>1599</v>
      </c>
    </row>
    <row r="980" spans="1:6" ht="63.75">
      <c r="A980" s="10" t="str">
        <f>HYPERLINK(SUBSTITUTE(T(hl_0),"{0}","332331533028847"),hn_0)</f>
        <v>ОВ</v>
      </c>
      <c r="B980" s="9">
        <v>4800</v>
      </c>
      <c r="C980" s="11" t="s">
        <v>652</v>
      </c>
      <c r="D980" s="15" t="s">
        <v>1343</v>
      </c>
      <c r="E980" s="11" t="s">
        <v>14</v>
      </c>
      <c r="F980" s="11" t="s">
        <v>1599</v>
      </c>
    </row>
    <row r="981" spans="1:6" ht="51">
      <c r="A981" s="10" t="str">
        <f>HYPERLINK(SUBSTITUTE(T(hl_0),"{0}","332328940129464"),hn_0)</f>
        <v>ОВ</v>
      </c>
      <c r="B981" s="9">
        <v>4800</v>
      </c>
      <c r="C981" s="11" t="s">
        <v>652</v>
      </c>
      <c r="D981" s="15" t="s">
        <v>654</v>
      </c>
      <c r="E981" s="11" t="s">
        <v>14</v>
      </c>
      <c r="F981" s="11" t="s">
        <v>1599</v>
      </c>
    </row>
    <row r="982" spans="1:6" ht="12.75">
      <c r="A982" s="10" t="str">
        <f>HYPERLINK(SUBSTITUTE(T(hl_0),"{0}","900332145158526"),hn_0)</f>
        <v>ОВ</v>
      </c>
      <c r="B982" s="9">
        <v>8000</v>
      </c>
      <c r="C982" s="11" t="s">
        <v>652</v>
      </c>
      <c r="D982" s="15" t="s">
        <v>655</v>
      </c>
      <c r="E982" s="11" t="s">
        <v>16</v>
      </c>
      <c r="F982" s="12" t="s">
        <v>1599</v>
      </c>
    </row>
    <row r="983" spans="1:6" ht="12.75">
      <c r="A983" s="10" t="str">
        <f>HYPERLINK(SUBSTITUTE(T(hl_0),"{0}","900331793799874"),hn_0)</f>
        <v>ОВ</v>
      </c>
      <c r="B983" s="9">
        <v>9000</v>
      </c>
      <c r="C983" s="11" t="s">
        <v>652</v>
      </c>
      <c r="D983" s="15" t="s">
        <v>656</v>
      </c>
      <c r="E983" s="11" t="s">
        <v>16</v>
      </c>
      <c r="F983" s="12" t="s">
        <v>1599</v>
      </c>
    </row>
    <row r="984" spans="1:6" ht="12.75">
      <c r="A984" s="10" t="str">
        <f>HYPERLINK(SUBSTITUTE(T(hl_0),"{0}","319331136295664"),hn_0)</f>
        <v>ОВ</v>
      </c>
      <c r="B984" s="9">
        <v>8000</v>
      </c>
      <c r="C984" s="11" t="s">
        <v>657</v>
      </c>
      <c r="D984" s="15" t="s">
        <v>658</v>
      </c>
      <c r="E984" s="11" t="s">
        <v>22</v>
      </c>
      <c r="F984" s="11" t="s">
        <v>1599</v>
      </c>
    </row>
    <row r="985" spans="1:6" ht="12.75">
      <c r="A985" s="10" t="str">
        <f>HYPERLINK(SUBSTITUTE(T(hl_0),"{0}","319331136359173"),hn_0)</f>
        <v>ОВ</v>
      </c>
      <c r="B985" s="9">
        <v>8000</v>
      </c>
      <c r="C985" s="11" t="s">
        <v>657</v>
      </c>
      <c r="D985" s="15" t="s">
        <v>658</v>
      </c>
      <c r="E985" s="11" t="s">
        <v>16</v>
      </c>
      <c r="F985" s="11" t="s">
        <v>1599</v>
      </c>
    </row>
    <row r="986" spans="1:6" ht="25.5">
      <c r="A986" s="10" t="str">
        <f>HYPERLINK(SUBSTITUTE(T(hl_0),"{0}","321332146929452"),hn_0)</f>
        <v>ОВ</v>
      </c>
      <c r="B986" s="9">
        <v>4723</v>
      </c>
      <c r="C986" s="11" t="s">
        <v>657</v>
      </c>
      <c r="D986" s="15" t="s">
        <v>1344</v>
      </c>
      <c r="E986" s="11" t="s">
        <v>20</v>
      </c>
      <c r="F986" s="12" t="s">
        <v>1599</v>
      </c>
    </row>
    <row r="987" spans="1:6" ht="25.5">
      <c r="A987" s="10" t="str">
        <f>HYPERLINK(SUBSTITUTE(T(hl_0),"{0}","321331702674004"),hn_0)</f>
        <v>ОВ</v>
      </c>
      <c r="B987" s="9">
        <v>6000</v>
      </c>
      <c r="C987" s="11" t="s">
        <v>657</v>
      </c>
      <c r="D987" s="15" t="s">
        <v>1345</v>
      </c>
      <c r="E987" s="11" t="s">
        <v>20</v>
      </c>
      <c r="F987" s="12" t="s">
        <v>1599</v>
      </c>
    </row>
    <row r="988" spans="1:6" ht="25.5">
      <c r="A988" s="10" t="str">
        <f>HYPERLINK(SUBSTITUTE(T(hl_0),"{0}","321331702674014"),hn_0)</f>
        <v>ОВ</v>
      </c>
      <c r="B988" s="9">
        <v>6000</v>
      </c>
      <c r="C988" s="11" t="s">
        <v>657</v>
      </c>
      <c r="D988" s="15" t="s">
        <v>1345</v>
      </c>
      <c r="E988" s="11" t="s">
        <v>20</v>
      </c>
      <c r="F988" s="12" t="s">
        <v>1599</v>
      </c>
    </row>
    <row r="989" spans="1:6" ht="51">
      <c r="A989" s="10" t="str">
        <f>HYPERLINK(SUBSTITUTE(T(hl_0),"{0}","321326900186888"),hn_0)</f>
        <v>ОВ</v>
      </c>
      <c r="B989" s="9">
        <v>5500</v>
      </c>
      <c r="C989" s="11" t="s">
        <v>657</v>
      </c>
      <c r="D989" s="15" t="s">
        <v>1346</v>
      </c>
      <c r="E989" s="11" t="s">
        <v>20</v>
      </c>
      <c r="F989" s="12" t="s">
        <v>1599</v>
      </c>
    </row>
    <row r="990" spans="1:6" ht="25.5">
      <c r="A990" s="10" t="str">
        <f>HYPERLINK(SUBSTITUTE(T(hl_0),"{0}","321331219762122"),hn_0)</f>
        <v>ОВ</v>
      </c>
      <c r="B990" s="9">
        <v>8000</v>
      </c>
      <c r="C990" s="11" t="s">
        <v>657</v>
      </c>
      <c r="D990" s="15" t="s">
        <v>1347</v>
      </c>
      <c r="E990" s="11" t="s">
        <v>573</v>
      </c>
      <c r="F990" s="12" t="s">
        <v>1599</v>
      </c>
    </row>
    <row r="991" spans="1:6" ht="25.5">
      <c r="A991" s="10" t="str">
        <f>HYPERLINK(SUBSTITUTE(T(hl_0),"{0}","321331289691687"),hn_0)</f>
        <v>ОВ</v>
      </c>
      <c r="B991" s="9">
        <v>6000</v>
      </c>
      <c r="C991" s="11" t="s">
        <v>657</v>
      </c>
      <c r="D991" s="15" t="s">
        <v>1348</v>
      </c>
      <c r="E991" s="11" t="s">
        <v>20</v>
      </c>
      <c r="F991" s="12" t="s">
        <v>1599</v>
      </c>
    </row>
    <row r="992" spans="1:6" ht="25.5">
      <c r="A992" s="10" t="str">
        <f>HYPERLINK(SUBSTITUTE(T(hl_0),"{0}","321331289644621"),hn_0)</f>
        <v>ОВ</v>
      </c>
      <c r="B992" s="9">
        <v>6000</v>
      </c>
      <c r="C992" s="11" t="s">
        <v>657</v>
      </c>
      <c r="D992" s="15" t="s">
        <v>1348</v>
      </c>
      <c r="E992" s="11" t="s">
        <v>20</v>
      </c>
      <c r="F992" s="12" t="s">
        <v>1599</v>
      </c>
    </row>
    <row r="993" spans="1:6" ht="25.5">
      <c r="A993" s="10" t="str">
        <f>HYPERLINK(SUBSTITUTE(T(hl_0),"{0}","321331219820420"),hn_0)</f>
        <v>ОВ</v>
      </c>
      <c r="B993" s="9">
        <v>8000</v>
      </c>
      <c r="C993" s="11" t="s">
        <v>657</v>
      </c>
      <c r="D993" s="15" t="s">
        <v>1347</v>
      </c>
      <c r="E993" s="11" t="s">
        <v>573</v>
      </c>
      <c r="F993" s="12" t="s">
        <v>1599</v>
      </c>
    </row>
    <row r="994" spans="1:6" ht="25.5">
      <c r="A994" s="10" t="str">
        <f>HYPERLINK(SUBSTITUTE(T(hl_0),"{0}","321331219813263"),hn_0)</f>
        <v>ОВ</v>
      </c>
      <c r="B994" s="9">
        <v>8000</v>
      </c>
      <c r="C994" s="11" t="s">
        <v>657</v>
      </c>
      <c r="D994" s="15" t="s">
        <v>1347</v>
      </c>
      <c r="E994" s="11" t="s">
        <v>573</v>
      </c>
      <c r="F994" s="12" t="s">
        <v>1599</v>
      </c>
    </row>
    <row r="995" spans="1:6" ht="12.75">
      <c r="A995" s="10" t="str">
        <f>HYPERLINK(SUBSTITUTE(T(hl_0),"{0}","324332173055064"),hn_0)</f>
        <v>ОВ</v>
      </c>
      <c r="B995" s="9">
        <v>4800</v>
      </c>
      <c r="C995" s="11" t="s">
        <v>657</v>
      </c>
      <c r="D995" s="15" t="s">
        <v>659</v>
      </c>
      <c r="E995" s="11" t="s">
        <v>332</v>
      </c>
      <c r="F995" s="11" t="s">
        <v>1599</v>
      </c>
    </row>
    <row r="996" spans="1:6" ht="12.75">
      <c r="A996" s="10" t="str">
        <f>HYPERLINK(SUBSTITUTE(T(hl_0),"{0}","324332173055070"),hn_0)</f>
        <v>ОВ</v>
      </c>
      <c r="B996" s="9">
        <v>4800</v>
      </c>
      <c r="C996" s="11" t="s">
        <v>657</v>
      </c>
      <c r="D996" s="15" t="s">
        <v>659</v>
      </c>
      <c r="E996" s="11" t="s">
        <v>332</v>
      </c>
      <c r="F996" s="11" t="s">
        <v>1599</v>
      </c>
    </row>
    <row r="997" spans="1:6" ht="12.75">
      <c r="A997" s="10" t="str">
        <f>HYPERLINK(SUBSTITUTE(T(hl_0),"{0}","324332173055077"),hn_0)</f>
        <v>ОВ</v>
      </c>
      <c r="B997" s="9">
        <v>4800</v>
      </c>
      <c r="C997" s="11" t="s">
        <v>657</v>
      </c>
      <c r="D997" s="15" t="s">
        <v>659</v>
      </c>
      <c r="E997" s="11" t="s">
        <v>332</v>
      </c>
      <c r="F997" s="11" t="s">
        <v>1599</v>
      </c>
    </row>
    <row r="998" spans="1:6" ht="12.75">
      <c r="A998" s="10" t="str">
        <f>HYPERLINK(SUBSTITUTE(T(hl_0),"{0}","324332173055083"),hn_0)</f>
        <v>ОВ</v>
      </c>
      <c r="B998" s="9">
        <v>4800</v>
      </c>
      <c r="C998" s="11" t="s">
        <v>657</v>
      </c>
      <c r="D998" s="15" t="s">
        <v>659</v>
      </c>
      <c r="E998" s="11" t="s">
        <v>332</v>
      </c>
      <c r="F998" s="11" t="s">
        <v>1599</v>
      </c>
    </row>
    <row r="999" spans="1:6" ht="12.75">
      <c r="A999" s="10" t="str">
        <f>HYPERLINK(SUBSTITUTE(T(hl_0),"{0}","324332173052355"),hn_0)</f>
        <v>ОВ</v>
      </c>
      <c r="B999" s="9">
        <v>4800</v>
      </c>
      <c r="C999" s="11" t="s">
        <v>657</v>
      </c>
      <c r="D999" s="15" t="s">
        <v>659</v>
      </c>
      <c r="E999" s="11" t="s">
        <v>332</v>
      </c>
      <c r="F999" s="11" t="s">
        <v>1599</v>
      </c>
    </row>
    <row r="1000" spans="1:6" ht="51">
      <c r="A1000" s="10" t="str">
        <f>HYPERLINK(SUBSTITUTE(T(hl_0),"{0}","325332145554552"),hn_0)</f>
        <v>ОВ</v>
      </c>
      <c r="B1000" s="9">
        <v>5100</v>
      </c>
      <c r="C1000" s="11" t="s">
        <v>657</v>
      </c>
      <c r="D1000" s="15" t="s">
        <v>660</v>
      </c>
      <c r="E1000" s="11" t="s">
        <v>36</v>
      </c>
      <c r="F1000" s="12" t="s">
        <v>1599</v>
      </c>
    </row>
    <row r="1001" spans="1:6" ht="38.25">
      <c r="A1001" s="10" t="str">
        <f>HYPERLINK(SUBSTITUTE(T(hl_0),"{0}","326330363294727"),hn_0)</f>
        <v>ОВ</v>
      </c>
      <c r="B1001" s="9">
        <v>4723</v>
      </c>
      <c r="C1001" s="11" t="s">
        <v>657</v>
      </c>
      <c r="D1001" s="15" t="s">
        <v>1349</v>
      </c>
      <c r="E1001" s="11" t="s">
        <v>661</v>
      </c>
      <c r="F1001" s="12" t="s">
        <v>1599</v>
      </c>
    </row>
    <row r="1002" spans="1:6" ht="38.25">
      <c r="A1002" s="10" t="str">
        <f>HYPERLINK(SUBSTITUTE(T(hl_0),"{0}","326331794933658"),hn_0)</f>
        <v>ОВ</v>
      </c>
      <c r="B1002" s="9">
        <v>6500</v>
      </c>
      <c r="C1002" s="11" t="s">
        <v>657</v>
      </c>
      <c r="D1002" s="15" t="s">
        <v>1350</v>
      </c>
      <c r="E1002" s="11" t="s">
        <v>662</v>
      </c>
      <c r="F1002" s="12" t="s">
        <v>1599</v>
      </c>
    </row>
    <row r="1003" spans="1:6" ht="12.75">
      <c r="A1003" s="10" t="str">
        <f>HYPERLINK(SUBSTITUTE(T(hl_0),"{0}","328331480576697"),hn_0)</f>
        <v>ОВ</v>
      </c>
      <c r="B1003" s="9">
        <v>8000</v>
      </c>
      <c r="C1003" s="11" t="s">
        <v>657</v>
      </c>
      <c r="D1003" s="15" t="s">
        <v>663</v>
      </c>
      <c r="E1003" s="11" t="s">
        <v>61</v>
      </c>
      <c r="F1003" s="11" t="s">
        <v>1599</v>
      </c>
    </row>
    <row r="1004" spans="1:6" ht="12.75">
      <c r="A1004" s="10" t="str">
        <f>HYPERLINK(SUBSTITUTE(T(hl_0),"{0}","329332197216694"),hn_0)</f>
        <v>ОВ</v>
      </c>
      <c r="B1004" s="9">
        <v>6000</v>
      </c>
      <c r="C1004" s="11" t="s">
        <v>657</v>
      </c>
      <c r="D1004" s="15" t="s">
        <v>664</v>
      </c>
      <c r="E1004" s="11" t="s">
        <v>44</v>
      </c>
      <c r="F1004" s="11" t="s">
        <v>1599</v>
      </c>
    </row>
    <row r="1005" spans="1:6" ht="25.5">
      <c r="A1005" s="10" t="str">
        <f>HYPERLINK(SUBSTITUTE(T(hl_0),"{0}","330331874856520"),hn_0)</f>
        <v>ОВ</v>
      </c>
      <c r="B1005" s="9">
        <v>5000</v>
      </c>
      <c r="C1005" s="11" t="s">
        <v>657</v>
      </c>
      <c r="D1005" s="15" t="s">
        <v>1351</v>
      </c>
      <c r="E1005" s="11" t="s">
        <v>45</v>
      </c>
      <c r="F1005" s="11" t="s">
        <v>1599</v>
      </c>
    </row>
    <row r="1006" spans="1:6" ht="25.5">
      <c r="A1006" s="10" t="str">
        <f>HYPERLINK(SUBSTITUTE(T(hl_0),"{0}","330331874866858"),hn_0)</f>
        <v>ОВ</v>
      </c>
      <c r="B1006" s="9">
        <v>5000</v>
      </c>
      <c r="C1006" s="11" t="s">
        <v>657</v>
      </c>
      <c r="D1006" s="15" t="s">
        <v>1351</v>
      </c>
      <c r="E1006" s="11" t="s">
        <v>45</v>
      </c>
      <c r="F1006" s="11" t="s">
        <v>1599</v>
      </c>
    </row>
    <row r="1007" spans="1:6" ht="25.5">
      <c r="A1007" s="10" t="str">
        <f>HYPERLINK(SUBSTITUTE(T(hl_0),"{0}","330331874866866"),hn_0)</f>
        <v>ОВ</v>
      </c>
      <c r="B1007" s="9">
        <v>5000</v>
      </c>
      <c r="C1007" s="11" t="s">
        <v>657</v>
      </c>
      <c r="D1007" s="15" t="s">
        <v>1351</v>
      </c>
      <c r="E1007" s="11" t="s">
        <v>45</v>
      </c>
      <c r="F1007" s="11" t="s">
        <v>1599</v>
      </c>
    </row>
    <row r="1008" spans="1:6" ht="25.5">
      <c r="A1008" s="10" t="str">
        <f>HYPERLINK(SUBSTITUTE(T(hl_0),"{0}","330331874866875"),hn_0)</f>
        <v>ОВ</v>
      </c>
      <c r="B1008" s="9">
        <v>5000</v>
      </c>
      <c r="C1008" s="11" t="s">
        <v>657</v>
      </c>
      <c r="D1008" s="15" t="s">
        <v>1351</v>
      </c>
      <c r="E1008" s="11" t="s">
        <v>45</v>
      </c>
      <c r="F1008" s="11" t="s">
        <v>1599</v>
      </c>
    </row>
    <row r="1009" spans="1:6" ht="25.5">
      <c r="A1009" s="10" t="str">
        <f>HYPERLINK(SUBSTITUTE(T(hl_0),"{0}","330328428859279"),hn_0)</f>
        <v>ОВ</v>
      </c>
      <c r="B1009" s="9">
        <v>10000</v>
      </c>
      <c r="C1009" s="11" t="s">
        <v>657</v>
      </c>
      <c r="D1009" s="15" t="s">
        <v>1352</v>
      </c>
      <c r="E1009" s="11" t="s">
        <v>665</v>
      </c>
      <c r="F1009" s="11" t="s">
        <v>1599</v>
      </c>
    </row>
    <row r="1010" spans="1:6" ht="12.75">
      <c r="A1010" s="10" t="str">
        <f>HYPERLINK(SUBSTITUTE(T(hl_0),"{0}","331332315588828"),hn_0)</f>
        <v>ОВ</v>
      </c>
      <c r="B1010" s="9">
        <v>4723</v>
      </c>
      <c r="C1010" s="11" t="s">
        <v>657</v>
      </c>
      <c r="D1010" s="15" t="s">
        <v>666</v>
      </c>
      <c r="E1010" s="11" t="s">
        <v>38</v>
      </c>
      <c r="F1010" s="11" t="s">
        <v>1599</v>
      </c>
    </row>
    <row r="1011" spans="1:6" ht="12.75">
      <c r="A1011" s="10" t="str">
        <f>HYPERLINK(SUBSTITUTE(T(hl_0),"{0}","331332246351488"),hn_0)</f>
        <v>ОВ</v>
      </c>
      <c r="B1011" s="9">
        <v>4723</v>
      </c>
      <c r="C1011" s="11" t="s">
        <v>657</v>
      </c>
      <c r="D1011" s="15" t="s">
        <v>667</v>
      </c>
      <c r="E1011" s="11" t="s">
        <v>412</v>
      </c>
      <c r="F1011" s="11" t="s">
        <v>1599</v>
      </c>
    </row>
    <row r="1012" spans="1:6" ht="25.5">
      <c r="A1012" s="10" t="str">
        <f>HYPERLINK(SUBSTITUTE(T(hl_0),"{0}","332331898280987"),hn_0)</f>
        <v>ОВ</v>
      </c>
      <c r="B1012" s="9">
        <v>6000</v>
      </c>
      <c r="C1012" s="11" t="s">
        <v>657</v>
      </c>
      <c r="D1012" s="15" t="s">
        <v>668</v>
      </c>
      <c r="E1012" s="11" t="s">
        <v>669</v>
      </c>
      <c r="F1012" s="11" t="s">
        <v>1599</v>
      </c>
    </row>
    <row r="1013" spans="1:6" ht="25.5">
      <c r="A1013" s="10" t="str">
        <f>HYPERLINK(SUBSTITUTE(T(hl_0),"{0}","332331898294917"),hn_0)</f>
        <v>ОВ</v>
      </c>
      <c r="B1013" s="9">
        <v>6000</v>
      </c>
      <c r="C1013" s="11" t="s">
        <v>657</v>
      </c>
      <c r="D1013" s="15" t="s">
        <v>668</v>
      </c>
      <c r="E1013" s="11" t="s">
        <v>669</v>
      </c>
      <c r="F1013" s="11" t="s">
        <v>1599</v>
      </c>
    </row>
    <row r="1014" spans="1:6" ht="12.75">
      <c r="A1014" s="10" t="str">
        <f>HYPERLINK(SUBSTITUTE(T(hl_0),"{0}","900331796172026"),hn_0)</f>
        <v>ОВ</v>
      </c>
      <c r="B1014" s="9">
        <v>5000</v>
      </c>
      <c r="C1014" s="11" t="s">
        <v>657</v>
      </c>
      <c r="D1014" s="15" t="s">
        <v>670</v>
      </c>
      <c r="E1014" s="11" t="s">
        <v>16</v>
      </c>
      <c r="F1014" s="12" t="s">
        <v>1599</v>
      </c>
    </row>
    <row r="1015" spans="1:6" ht="12.75">
      <c r="A1015" s="10" t="str">
        <f>HYPERLINK(SUBSTITUTE(T(hl_0),"{0}","900331649947862"),hn_0)</f>
        <v>ОВ</v>
      </c>
      <c r="B1015" s="9">
        <v>4723</v>
      </c>
      <c r="C1015" s="11" t="s">
        <v>657</v>
      </c>
      <c r="D1015" s="15" t="s">
        <v>671</v>
      </c>
      <c r="E1015" s="11" t="s">
        <v>16</v>
      </c>
      <c r="F1015" s="12" t="s">
        <v>1599</v>
      </c>
    </row>
    <row r="1016" spans="1:6" ht="12.75">
      <c r="A1016" s="10" t="str">
        <f>HYPERLINK(SUBSTITUTE(T(hl_0),"{0}","900332147870557"),hn_0)</f>
        <v>ОВ</v>
      </c>
      <c r="B1016" s="9">
        <v>10000</v>
      </c>
      <c r="C1016" s="11" t="s">
        <v>657</v>
      </c>
      <c r="D1016" s="15" t="s">
        <v>672</v>
      </c>
      <c r="E1016" s="11" t="s">
        <v>16</v>
      </c>
      <c r="F1016" s="12" t="s">
        <v>1599</v>
      </c>
    </row>
    <row r="1017" spans="1:6" ht="12.75">
      <c r="A1017" s="10" t="str">
        <f>HYPERLINK(SUBSTITUTE(T(hl_0),"{0}","900332147607970"),hn_0)</f>
        <v>ОВ</v>
      </c>
      <c r="B1017" s="9">
        <v>10000</v>
      </c>
      <c r="C1017" s="11" t="s">
        <v>657</v>
      </c>
      <c r="D1017" s="15" t="s">
        <v>672</v>
      </c>
      <c r="E1017" s="11" t="s">
        <v>16</v>
      </c>
      <c r="F1017" s="12" t="s">
        <v>1599</v>
      </c>
    </row>
    <row r="1018" spans="1:6" ht="25.5">
      <c r="A1018" s="10" t="str">
        <f>HYPERLINK(SUBSTITUTE(T(hl_0),"{0}","900331673732691"),hn_0)</f>
        <v>ОВ</v>
      </c>
      <c r="B1018" s="9">
        <v>13740</v>
      </c>
      <c r="C1018" s="11" t="s">
        <v>673</v>
      </c>
      <c r="D1018" s="15" t="s">
        <v>1353</v>
      </c>
      <c r="E1018" s="11" t="s">
        <v>16</v>
      </c>
      <c r="F1018" s="12" t="s">
        <v>1599</v>
      </c>
    </row>
    <row r="1019" spans="1:6" ht="38.25">
      <c r="A1019" s="10" t="str">
        <f>HYPERLINK(SUBSTITUTE(T(hl_0),"{0}","327328111096086"),hn_0)</f>
        <v>ОВ</v>
      </c>
      <c r="B1019" s="9">
        <v>5000</v>
      </c>
      <c r="C1019" s="11" t="s">
        <v>674</v>
      </c>
      <c r="D1019" s="15" t="s">
        <v>675</v>
      </c>
      <c r="E1019" s="11" t="s">
        <v>16</v>
      </c>
      <c r="F1019" s="12" t="s">
        <v>1599</v>
      </c>
    </row>
    <row r="1020" spans="1:6" ht="38.25">
      <c r="A1020" s="10" t="str">
        <f>HYPERLINK(SUBSTITUTE(T(hl_0),"{0}","327328111097824"),hn_0)</f>
        <v>ОВ</v>
      </c>
      <c r="B1020" s="9">
        <v>5000</v>
      </c>
      <c r="C1020" s="11" t="s">
        <v>674</v>
      </c>
      <c r="D1020" s="15" t="s">
        <v>675</v>
      </c>
      <c r="E1020" s="11" t="s">
        <v>42</v>
      </c>
      <c r="F1020" s="12" t="s">
        <v>1599</v>
      </c>
    </row>
    <row r="1021" spans="1:6" ht="12.75">
      <c r="A1021" s="10" t="str">
        <f>HYPERLINK(SUBSTITUTE(T(hl_0),"{0}","319332224124495"),hn_0)</f>
        <v>ОВ</v>
      </c>
      <c r="B1021" s="9">
        <v>5100</v>
      </c>
      <c r="C1021" s="11" t="s">
        <v>676</v>
      </c>
      <c r="D1021" s="15" t="s">
        <v>1354</v>
      </c>
      <c r="E1021" s="11" t="s">
        <v>22</v>
      </c>
      <c r="F1021" s="11" t="s">
        <v>1599</v>
      </c>
    </row>
    <row r="1022" spans="1:6" ht="12.75">
      <c r="A1022" s="10" t="str">
        <f>HYPERLINK(SUBSTITUTE(T(hl_0),"{0}","319332224154566"),hn_0)</f>
        <v>ОВ</v>
      </c>
      <c r="B1022" s="9">
        <v>5100</v>
      </c>
      <c r="C1022" s="11" t="s">
        <v>676</v>
      </c>
      <c r="D1022" s="15" t="s">
        <v>1354</v>
      </c>
      <c r="E1022" s="11" t="s">
        <v>22</v>
      </c>
      <c r="F1022" s="11" t="s">
        <v>1599</v>
      </c>
    </row>
    <row r="1023" spans="1:6" ht="25.5">
      <c r="A1023" s="10" t="str">
        <f>HYPERLINK(SUBSTITUTE(T(hl_0),"{0}","327328111040089"),hn_0)</f>
        <v>ОВ</v>
      </c>
      <c r="B1023" s="9">
        <v>5000</v>
      </c>
      <c r="C1023" s="11" t="s">
        <v>676</v>
      </c>
      <c r="D1023" s="15" t="s">
        <v>677</v>
      </c>
      <c r="E1023" s="11" t="s">
        <v>42</v>
      </c>
      <c r="F1023" s="12" t="s">
        <v>1599</v>
      </c>
    </row>
    <row r="1024" spans="1:6" ht="25.5">
      <c r="A1024" s="10" t="str">
        <f>HYPERLINK(SUBSTITUTE(T(hl_0),"{0}","327328111024934"),hn_0)</f>
        <v>ОВ</v>
      </c>
      <c r="B1024" s="9">
        <v>5000</v>
      </c>
      <c r="C1024" s="11" t="s">
        <v>676</v>
      </c>
      <c r="D1024" s="15" t="s">
        <v>1355</v>
      </c>
      <c r="E1024" s="11" t="s">
        <v>16</v>
      </c>
      <c r="F1024" s="12" t="s">
        <v>1599</v>
      </c>
    </row>
    <row r="1025" spans="1:6" ht="51">
      <c r="A1025" s="10" t="str">
        <f>HYPERLINK(SUBSTITUTE(T(hl_0),"{0}","900331562633362"),hn_0)</f>
        <v>ОВ</v>
      </c>
      <c r="B1025" s="9">
        <v>7916</v>
      </c>
      <c r="C1025" s="11" t="s">
        <v>676</v>
      </c>
      <c r="D1025" s="15" t="s">
        <v>678</v>
      </c>
      <c r="E1025" s="11" t="s">
        <v>16</v>
      </c>
      <c r="F1025" s="12" t="s">
        <v>1599</v>
      </c>
    </row>
    <row r="1026" spans="1:6" ht="12.75">
      <c r="A1026" s="10" t="str">
        <f>HYPERLINK(SUBSTITUTE(T(hl_0),"{0}","900331024351515"),hn_0)</f>
        <v>ОВ</v>
      </c>
      <c r="B1026" s="9">
        <v>9000</v>
      </c>
      <c r="C1026" s="11" t="s">
        <v>676</v>
      </c>
      <c r="D1026" s="15" t="s">
        <v>679</v>
      </c>
      <c r="E1026" s="11" t="s">
        <v>16</v>
      </c>
      <c r="F1026" s="12" t="s">
        <v>1599</v>
      </c>
    </row>
    <row r="1027" spans="1:6" ht="51">
      <c r="A1027" s="10" t="str">
        <f>HYPERLINK(SUBSTITUTE(T(hl_0),"{0}","327328111066318"),hn_0)</f>
        <v>ОВ</v>
      </c>
      <c r="B1027" s="9">
        <v>5000</v>
      </c>
      <c r="C1027" s="11" t="s">
        <v>680</v>
      </c>
      <c r="D1027" s="15" t="s">
        <v>681</v>
      </c>
      <c r="E1027" s="11" t="s">
        <v>42</v>
      </c>
      <c r="F1027" s="12" t="s">
        <v>1599</v>
      </c>
    </row>
    <row r="1028" spans="1:6" ht="25.5">
      <c r="A1028" s="10" t="str">
        <f>HYPERLINK(SUBSTITUTE(T(hl_0),"{0}","330332251916580"),hn_0)</f>
        <v>ОВ</v>
      </c>
      <c r="B1028" s="9">
        <v>7000</v>
      </c>
      <c r="C1028" s="11" t="s">
        <v>680</v>
      </c>
      <c r="D1028" s="15" t="s">
        <v>1356</v>
      </c>
      <c r="E1028" s="11" t="s">
        <v>45</v>
      </c>
      <c r="F1028" s="11" t="s">
        <v>1599</v>
      </c>
    </row>
    <row r="1029" spans="1:6" ht="25.5">
      <c r="A1029" s="10" t="str">
        <f>HYPERLINK(SUBSTITUTE(T(hl_0),"{0}","900330084301062"),hn_0)</f>
        <v>ОВ</v>
      </c>
      <c r="B1029" s="9">
        <v>7000</v>
      </c>
      <c r="C1029" s="11" t="s">
        <v>680</v>
      </c>
      <c r="D1029" s="15" t="s">
        <v>682</v>
      </c>
      <c r="E1029" s="11" t="s">
        <v>16</v>
      </c>
      <c r="F1029" s="12" t="s">
        <v>1599</v>
      </c>
    </row>
    <row r="1030" spans="1:6" ht="51">
      <c r="A1030" s="10" t="str">
        <f>HYPERLINK(SUBSTITUTE(T(hl_0),"{0}","330331507008395"),hn_0)</f>
        <v>ОВ</v>
      </c>
      <c r="B1030" s="9">
        <v>6500</v>
      </c>
      <c r="C1030" s="11" t="s">
        <v>683</v>
      </c>
      <c r="D1030" s="15" t="s">
        <v>1357</v>
      </c>
      <c r="E1030" s="11" t="s">
        <v>28</v>
      </c>
      <c r="F1030" s="11" t="s">
        <v>1599</v>
      </c>
    </row>
    <row r="1031" spans="1:6" ht="51">
      <c r="A1031" s="10" t="str">
        <f>HYPERLINK(SUBSTITUTE(T(hl_0),"{0}","330331507008386"),hn_0)</f>
        <v>ОВ</v>
      </c>
      <c r="B1031" s="9">
        <v>6500</v>
      </c>
      <c r="C1031" s="11" t="s">
        <v>683</v>
      </c>
      <c r="D1031" s="15" t="s">
        <v>1357</v>
      </c>
      <c r="E1031" s="11" t="s">
        <v>28</v>
      </c>
      <c r="F1031" s="11" t="s">
        <v>1599</v>
      </c>
    </row>
    <row r="1032" spans="1:6" ht="51">
      <c r="A1032" s="10" t="str">
        <f>HYPERLINK(SUBSTITUTE(T(hl_0),"{0}","330331506955241"),hn_0)</f>
        <v>ОВ</v>
      </c>
      <c r="B1032" s="9">
        <v>6500</v>
      </c>
      <c r="C1032" s="11" t="s">
        <v>683</v>
      </c>
      <c r="D1032" s="15" t="s">
        <v>1357</v>
      </c>
      <c r="E1032" s="11" t="s">
        <v>28</v>
      </c>
      <c r="F1032" s="11" t="s">
        <v>1599</v>
      </c>
    </row>
    <row r="1033" spans="1:6" ht="51">
      <c r="A1033" s="10" t="str">
        <f>HYPERLINK(SUBSTITUTE(T(hl_0),"{0}","330331507008374"),hn_0)</f>
        <v>ОВ</v>
      </c>
      <c r="B1033" s="9">
        <v>6500</v>
      </c>
      <c r="C1033" s="11" t="s">
        <v>683</v>
      </c>
      <c r="D1033" s="15" t="s">
        <v>1357</v>
      </c>
      <c r="E1033" s="11" t="s">
        <v>28</v>
      </c>
      <c r="F1033" s="11" t="s">
        <v>1599</v>
      </c>
    </row>
    <row r="1034" spans="1:6" ht="25.5">
      <c r="A1034" s="10" t="str">
        <f>HYPERLINK(SUBSTITUTE(T(hl_0),"{0}","900330803773516"),hn_0)</f>
        <v>ОВ</v>
      </c>
      <c r="B1034" s="9">
        <v>7000</v>
      </c>
      <c r="C1034" s="11" t="s">
        <v>684</v>
      </c>
      <c r="D1034" s="15" t="s">
        <v>685</v>
      </c>
      <c r="E1034" s="11" t="s">
        <v>16</v>
      </c>
      <c r="F1034" s="12" t="s">
        <v>1599</v>
      </c>
    </row>
    <row r="1035" spans="1:6" ht="25.5">
      <c r="A1035" s="10" t="str">
        <f>HYPERLINK(SUBSTITUTE(T(hl_0),"{0}","900330803773501"),hn_0)</f>
        <v>ОВ</v>
      </c>
      <c r="B1035" s="9">
        <v>7000</v>
      </c>
      <c r="C1035" s="11" t="s">
        <v>684</v>
      </c>
      <c r="D1035" s="15" t="s">
        <v>685</v>
      </c>
      <c r="E1035" s="11" t="s">
        <v>16</v>
      </c>
      <c r="F1035" s="12" t="s">
        <v>1599</v>
      </c>
    </row>
    <row r="1036" spans="1:6" ht="25.5">
      <c r="A1036" s="10" t="str">
        <f>HYPERLINK(SUBSTITUTE(T(hl_0),"{0}","900330803773526"),hn_0)</f>
        <v>ОВ</v>
      </c>
      <c r="B1036" s="9">
        <v>7000</v>
      </c>
      <c r="C1036" s="11" t="s">
        <v>684</v>
      </c>
      <c r="D1036" s="15" t="s">
        <v>685</v>
      </c>
      <c r="E1036" s="11" t="s">
        <v>16</v>
      </c>
      <c r="F1036" s="12" t="s">
        <v>1599</v>
      </c>
    </row>
    <row r="1037" spans="1:6" ht="38.25">
      <c r="A1037" s="10" t="str">
        <f>HYPERLINK(SUBSTITUTE(T(hl_0),"{0}","329331726264335"),hn_0)</f>
        <v>ОВ</v>
      </c>
      <c r="B1037" s="9">
        <v>7000</v>
      </c>
      <c r="C1037" s="11" t="s">
        <v>686</v>
      </c>
      <c r="D1037" s="15" t="s">
        <v>687</v>
      </c>
      <c r="E1037" s="11" t="s">
        <v>44</v>
      </c>
      <c r="F1037" s="11" t="s">
        <v>1599</v>
      </c>
    </row>
    <row r="1038" spans="1:6" ht="38.25">
      <c r="A1038" s="10" t="str">
        <f>HYPERLINK(SUBSTITUTE(T(hl_0),"{0}","900331701720826"),hn_0)</f>
        <v>ОВ</v>
      </c>
      <c r="B1038" s="9">
        <v>4740</v>
      </c>
      <c r="C1038" s="11" t="s">
        <v>686</v>
      </c>
      <c r="D1038" s="15" t="s">
        <v>688</v>
      </c>
      <c r="E1038" s="11" t="s">
        <v>75</v>
      </c>
      <c r="F1038" s="12" t="s">
        <v>1599</v>
      </c>
    </row>
    <row r="1039" spans="1:6" ht="51">
      <c r="A1039" s="10" t="str">
        <f>HYPERLINK(SUBSTITUTE(T(hl_0),"{0}","900328479122561"),hn_0)</f>
        <v>ОВ</v>
      </c>
      <c r="B1039" s="9">
        <v>4860</v>
      </c>
      <c r="C1039" s="11" t="s">
        <v>686</v>
      </c>
      <c r="D1039" s="15" t="s">
        <v>689</v>
      </c>
      <c r="E1039" s="11" t="s">
        <v>16</v>
      </c>
      <c r="F1039" s="12" t="s">
        <v>1599</v>
      </c>
    </row>
    <row r="1040" spans="1:6" ht="51">
      <c r="A1040" s="10" t="str">
        <f>HYPERLINK(SUBSTITUTE(T(hl_0),"{0}","900328479119711"),hn_0)</f>
        <v>ОВ</v>
      </c>
      <c r="B1040" s="9">
        <v>4860</v>
      </c>
      <c r="C1040" s="11" t="s">
        <v>686</v>
      </c>
      <c r="D1040" s="15" t="s">
        <v>690</v>
      </c>
      <c r="E1040" s="11" t="s">
        <v>16</v>
      </c>
      <c r="F1040" s="12" t="s">
        <v>1599</v>
      </c>
    </row>
    <row r="1041" spans="1:6" ht="51">
      <c r="A1041" s="10" t="str">
        <f>HYPERLINK(SUBSTITUTE(T(hl_0),"{0}","900328479070199"),hn_0)</f>
        <v>ОВ</v>
      </c>
      <c r="B1041" s="9">
        <v>4860</v>
      </c>
      <c r="C1041" s="11" t="s">
        <v>686</v>
      </c>
      <c r="D1041" s="15" t="s">
        <v>690</v>
      </c>
      <c r="E1041" s="11" t="s">
        <v>16</v>
      </c>
      <c r="F1041" s="12" t="s">
        <v>1599</v>
      </c>
    </row>
    <row r="1042" spans="1:6" ht="51">
      <c r="A1042" s="10" t="str">
        <f>HYPERLINK(SUBSTITUTE(T(hl_0),"{0}","900328479145601"),hn_0)</f>
        <v>ОВ</v>
      </c>
      <c r="B1042" s="9">
        <v>4860</v>
      </c>
      <c r="C1042" s="11" t="s">
        <v>686</v>
      </c>
      <c r="D1042" s="15" t="s">
        <v>691</v>
      </c>
      <c r="E1042" s="11" t="s">
        <v>16</v>
      </c>
      <c r="F1042" s="12" t="s">
        <v>1599</v>
      </c>
    </row>
    <row r="1043" spans="1:6" ht="51">
      <c r="A1043" s="10" t="str">
        <f>HYPERLINK(SUBSTITUTE(T(hl_0),"{0}","900328479116062"),hn_0)</f>
        <v>ОВ</v>
      </c>
      <c r="B1043" s="9">
        <v>4860</v>
      </c>
      <c r="C1043" s="11" t="s">
        <v>686</v>
      </c>
      <c r="D1043" s="15" t="s">
        <v>692</v>
      </c>
      <c r="E1043" s="11" t="s">
        <v>16</v>
      </c>
      <c r="F1043" s="12" t="s">
        <v>1599</v>
      </c>
    </row>
    <row r="1044" spans="1:6" ht="63.75">
      <c r="A1044" s="10" t="str">
        <f>HYPERLINK(SUBSTITUTE(T(hl_0),"{0}","900328476155793"),hn_0)</f>
        <v>ОВ</v>
      </c>
      <c r="B1044" s="9">
        <v>4870</v>
      </c>
      <c r="C1044" s="11" t="s">
        <v>686</v>
      </c>
      <c r="D1044" s="15" t="s">
        <v>693</v>
      </c>
      <c r="E1044" s="11" t="s">
        <v>242</v>
      </c>
      <c r="F1044" s="12" t="s">
        <v>1599</v>
      </c>
    </row>
    <row r="1045" spans="1:6" ht="51">
      <c r="A1045" s="10" t="str">
        <f>HYPERLINK(SUBSTITUTE(T(hl_0),"{0}","900328479106061"),hn_0)</f>
        <v>ОВ</v>
      </c>
      <c r="B1045" s="9">
        <v>4860</v>
      </c>
      <c r="C1045" s="11" t="s">
        <v>686</v>
      </c>
      <c r="D1045" s="15" t="s">
        <v>694</v>
      </c>
      <c r="E1045" s="11" t="s">
        <v>16</v>
      </c>
      <c r="F1045" s="12" t="s">
        <v>1599</v>
      </c>
    </row>
    <row r="1046" spans="1:6" ht="76.5">
      <c r="A1046" s="10" t="str">
        <f>HYPERLINK(SUBSTITUTE(T(hl_0),"{0}","900328476185866"),hn_0)</f>
        <v>ОВ</v>
      </c>
      <c r="B1046" s="9">
        <v>4870</v>
      </c>
      <c r="C1046" s="11" t="s">
        <v>686</v>
      </c>
      <c r="D1046" s="15" t="s">
        <v>695</v>
      </c>
      <c r="E1046" s="11" t="s">
        <v>696</v>
      </c>
      <c r="F1046" s="12" t="s">
        <v>1599</v>
      </c>
    </row>
    <row r="1047" spans="1:6" ht="76.5">
      <c r="A1047" s="10" t="str">
        <f>HYPERLINK(SUBSTITUTE(T(hl_0),"{0}","900328137647570"),hn_0)</f>
        <v>ОВ</v>
      </c>
      <c r="B1047" s="9">
        <v>4870</v>
      </c>
      <c r="C1047" s="11" t="s">
        <v>686</v>
      </c>
      <c r="D1047" s="15" t="s">
        <v>697</v>
      </c>
      <c r="E1047" s="11" t="s">
        <v>696</v>
      </c>
      <c r="F1047" s="12" t="s">
        <v>1599</v>
      </c>
    </row>
    <row r="1048" spans="1:6" ht="63.75">
      <c r="A1048" s="10" t="str">
        <f>HYPERLINK(SUBSTITUTE(T(hl_0),"{0}","900328137608879"),hn_0)</f>
        <v>ОВ</v>
      </c>
      <c r="B1048" s="9">
        <v>4870</v>
      </c>
      <c r="C1048" s="11" t="s">
        <v>686</v>
      </c>
      <c r="D1048" s="15" t="s">
        <v>698</v>
      </c>
      <c r="E1048" s="11" t="s">
        <v>456</v>
      </c>
      <c r="F1048" s="12" t="s">
        <v>1599</v>
      </c>
    </row>
    <row r="1049" spans="1:6" ht="12.75">
      <c r="A1049" s="10" t="str">
        <f>HYPERLINK(SUBSTITUTE(T(hl_0),"{0}","900331701591714"),hn_0)</f>
        <v>ОВ</v>
      </c>
      <c r="B1049" s="9">
        <v>4750</v>
      </c>
      <c r="C1049" s="11" t="s">
        <v>686</v>
      </c>
      <c r="D1049" s="15" t="s">
        <v>699</v>
      </c>
      <c r="E1049" s="11" t="s">
        <v>601</v>
      </c>
      <c r="F1049" s="12" t="s">
        <v>1599</v>
      </c>
    </row>
    <row r="1050" spans="1:6" ht="12.75">
      <c r="A1050" s="10" t="str">
        <f>HYPERLINK(SUBSTITUTE(T(hl_0),"{0}","900332197056906"),hn_0)</f>
        <v>ОВ</v>
      </c>
      <c r="B1050" s="9">
        <v>7000</v>
      </c>
      <c r="C1050" s="11" t="s">
        <v>686</v>
      </c>
      <c r="D1050" s="15" t="s">
        <v>700</v>
      </c>
      <c r="E1050" s="11" t="s">
        <v>16</v>
      </c>
      <c r="F1050" s="12" t="s">
        <v>1599</v>
      </c>
    </row>
    <row r="1051" spans="1:6" ht="12.75">
      <c r="A1051" s="10" t="str">
        <f>HYPERLINK(SUBSTITUTE(T(hl_0),"{0}","900332197056899"),hn_0)</f>
        <v>ОВ</v>
      </c>
      <c r="B1051" s="9">
        <v>7000</v>
      </c>
      <c r="C1051" s="11" t="s">
        <v>686</v>
      </c>
      <c r="D1051" s="15" t="s">
        <v>700</v>
      </c>
      <c r="E1051" s="11" t="s">
        <v>16</v>
      </c>
      <c r="F1051" s="12" t="s">
        <v>1599</v>
      </c>
    </row>
    <row r="1052" spans="1:6" ht="12.75">
      <c r="A1052" s="10" t="str">
        <f>HYPERLINK(SUBSTITUTE(T(hl_0),"{0}","900332197036407"),hn_0)</f>
        <v>ОВ</v>
      </c>
      <c r="B1052" s="9">
        <v>7000</v>
      </c>
      <c r="C1052" s="11" t="s">
        <v>686</v>
      </c>
      <c r="D1052" s="15" t="s">
        <v>700</v>
      </c>
      <c r="E1052" s="11" t="s">
        <v>16</v>
      </c>
      <c r="F1052" s="12" t="s">
        <v>1599</v>
      </c>
    </row>
    <row r="1053" spans="1:6" ht="51">
      <c r="A1053" s="10" t="str">
        <f>HYPERLINK(SUBSTITUTE(T(hl_0),"{0}","325331967757445"),hn_0)</f>
        <v>ОВ</v>
      </c>
      <c r="B1053" s="9">
        <v>7000</v>
      </c>
      <c r="C1053" s="11" t="s">
        <v>701</v>
      </c>
      <c r="D1053" s="15" t="s">
        <v>702</v>
      </c>
      <c r="E1053" s="11" t="s">
        <v>36</v>
      </c>
      <c r="F1053" s="12" t="s">
        <v>1599</v>
      </c>
    </row>
    <row r="1054" spans="1:6" ht="25.5">
      <c r="A1054" s="10" t="str">
        <f>HYPERLINK(SUBSTITUTE(T(hl_0),"{0}","328331872216780"),hn_0)</f>
        <v>ОВ</v>
      </c>
      <c r="B1054" s="9">
        <v>5500</v>
      </c>
      <c r="C1054" s="11" t="s">
        <v>701</v>
      </c>
      <c r="D1054" s="15" t="s">
        <v>703</v>
      </c>
      <c r="E1054" s="11" t="s">
        <v>61</v>
      </c>
      <c r="F1054" s="11" t="s">
        <v>1599</v>
      </c>
    </row>
    <row r="1055" spans="1:6" ht="76.5">
      <c r="A1055" s="10" t="str">
        <f>HYPERLINK(SUBSTITUTE(T(hl_0),"{0}","900328476389267"),hn_0)</f>
        <v>ОВ</v>
      </c>
      <c r="B1055" s="9">
        <v>5060</v>
      </c>
      <c r="C1055" s="11" t="s">
        <v>701</v>
      </c>
      <c r="D1055" s="15" t="s">
        <v>704</v>
      </c>
      <c r="E1055" s="11" t="s">
        <v>705</v>
      </c>
      <c r="F1055" s="12" t="s">
        <v>1599</v>
      </c>
    </row>
    <row r="1056" spans="1:6" ht="38.25">
      <c r="A1056" s="10" t="str">
        <f>HYPERLINK(SUBSTITUTE(T(hl_0),"{0}","321332146928223"),hn_0)</f>
        <v>ОВ</v>
      </c>
      <c r="B1056" s="9">
        <v>5700</v>
      </c>
      <c r="C1056" s="11" t="s">
        <v>706</v>
      </c>
      <c r="D1056" s="15" t="s">
        <v>1358</v>
      </c>
      <c r="E1056" s="11" t="s">
        <v>20</v>
      </c>
      <c r="F1056" s="12" t="s">
        <v>1599</v>
      </c>
    </row>
    <row r="1057" spans="1:6" ht="25.5">
      <c r="A1057" s="10" t="str">
        <f>HYPERLINK(SUBSTITUTE(T(hl_0),"{0}","900331794935205"),hn_0)</f>
        <v>ОВ</v>
      </c>
      <c r="B1057" s="9">
        <v>9224</v>
      </c>
      <c r="C1057" s="11" t="s">
        <v>707</v>
      </c>
      <c r="D1057" s="15" t="s">
        <v>708</v>
      </c>
      <c r="E1057" s="11" t="s">
        <v>20</v>
      </c>
      <c r="F1057" s="12" t="s">
        <v>1599</v>
      </c>
    </row>
    <row r="1058" spans="1:6" ht="25.5">
      <c r="A1058" s="10" t="str">
        <f>HYPERLINK(SUBSTITUTE(T(hl_0),"{0}","900331626243776"),hn_0)</f>
        <v>ОВ</v>
      </c>
      <c r="B1058" s="9">
        <v>6720</v>
      </c>
      <c r="C1058" s="11" t="s">
        <v>707</v>
      </c>
      <c r="D1058" s="15" t="s">
        <v>709</v>
      </c>
      <c r="E1058" s="11" t="s">
        <v>16</v>
      </c>
      <c r="F1058" s="12" t="s">
        <v>1599</v>
      </c>
    </row>
    <row r="1059" spans="1:6" ht="25.5">
      <c r="A1059" s="10" t="str">
        <f>HYPERLINK(SUBSTITUTE(T(hl_0),"{0}","900331794924837"),hn_0)</f>
        <v>ОВ</v>
      </c>
      <c r="B1059" s="9">
        <v>9224</v>
      </c>
      <c r="C1059" s="11" t="s">
        <v>707</v>
      </c>
      <c r="D1059" s="15" t="s">
        <v>710</v>
      </c>
      <c r="E1059" s="11" t="s">
        <v>258</v>
      </c>
      <c r="F1059" s="12" t="s">
        <v>1599</v>
      </c>
    </row>
    <row r="1060" spans="1:6" ht="25.5">
      <c r="A1060" s="10" t="str">
        <f>HYPERLINK(SUBSTITUTE(T(hl_0),"{0}","900331794894239"),hn_0)</f>
        <v>ОВ</v>
      </c>
      <c r="B1060" s="9">
        <v>7320</v>
      </c>
      <c r="C1060" s="11" t="s">
        <v>707</v>
      </c>
      <c r="D1060" s="15" t="s">
        <v>711</v>
      </c>
      <c r="E1060" s="11" t="s">
        <v>44</v>
      </c>
      <c r="F1060" s="12" t="s">
        <v>1599</v>
      </c>
    </row>
    <row r="1061" spans="1:6" ht="25.5">
      <c r="A1061" s="10" t="str">
        <f>HYPERLINK(SUBSTITUTE(T(hl_0),"{0}","900331794992784"),hn_0)</f>
        <v>ОВ</v>
      </c>
      <c r="B1061" s="9">
        <v>8093</v>
      </c>
      <c r="C1061" s="11" t="s">
        <v>707</v>
      </c>
      <c r="D1061" s="15" t="s">
        <v>712</v>
      </c>
      <c r="E1061" s="11" t="s">
        <v>38</v>
      </c>
      <c r="F1061" s="12" t="s">
        <v>1599</v>
      </c>
    </row>
    <row r="1062" spans="1:6" ht="25.5">
      <c r="A1062" s="10" t="str">
        <f>HYPERLINK(SUBSTITUTE(T(hl_0),"{0}","900331795007366"),hn_0)</f>
        <v>ОВ</v>
      </c>
      <c r="B1062" s="9">
        <v>8093</v>
      </c>
      <c r="C1062" s="11" t="s">
        <v>707</v>
      </c>
      <c r="D1062" s="15" t="s">
        <v>713</v>
      </c>
      <c r="E1062" s="11" t="s">
        <v>261</v>
      </c>
      <c r="F1062" s="12" t="s">
        <v>1599</v>
      </c>
    </row>
    <row r="1063" spans="1:6" ht="25.5">
      <c r="A1063" s="10" t="str">
        <f>HYPERLINK(SUBSTITUTE(T(hl_0),"{0}","900331795011656"),hn_0)</f>
        <v>ОВ</v>
      </c>
      <c r="B1063" s="9">
        <v>8093</v>
      </c>
      <c r="C1063" s="11" t="s">
        <v>707</v>
      </c>
      <c r="D1063" s="15" t="s">
        <v>711</v>
      </c>
      <c r="E1063" s="11" t="s">
        <v>44</v>
      </c>
      <c r="F1063" s="12" t="s">
        <v>1599</v>
      </c>
    </row>
    <row r="1064" spans="1:6" ht="25.5">
      <c r="A1064" s="10" t="str">
        <f>HYPERLINK(SUBSTITUTE(T(hl_0),"{0}","900331794939543"),hn_0)</f>
        <v>ОВ</v>
      </c>
      <c r="B1064" s="9">
        <v>9224</v>
      </c>
      <c r="C1064" s="11" t="s">
        <v>707</v>
      </c>
      <c r="D1064" s="15" t="s">
        <v>714</v>
      </c>
      <c r="E1064" s="11" t="s">
        <v>24</v>
      </c>
      <c r="F1064" s="12" t="s">
        <v>1599</v>
      </c>
    </row>
    <row r="1065" spans="1:6" ht="25.5">
      <c r="A1065" s="10" t="str">
        <f>HYPERLINK(SUBSTITUTE(T(hl_0),"{0}","900327859759420"),hn_0)</f>
        <v>ОВ</v>
      </c>
      <c r="B1065" s="9">
        <v>9224</v>
      </c>
      <c r="C1065" s="11" t="s">
        <v>707</v>
      </c>
      <c r="D1065" s="15" t="s">
        <v>715</v>
      </c>
      <c r="E1065" s="11" t="s">
        <v>16</v>
      </c>
      <c r="F1065" s="12" t="s">
        <v>1599</v>
      </c>
    </row>
    <row r="1066" spans="1:6" ht="25.5">
      <c r="A1066" s="10" t="str">
        <f>HYPERLINK(SUBSTITUTE(T(hl_0),"{0}","900327859794959"),hn_0)</f>
        <v>ОВ</v>
      </c>
      <c r="B1066" s="9">
        <v>7320</v>
      </c>
      <c r="C1066" s="11" t="s">
        <v>707</v>
      </c>
      <c r="D1066" s="15" t="s">
        <v>715</v>
      </c>
      <c r="E1066" s="11" t="s">
        <v>16</v>
      </c>
      <c r="F1066" s="12" t="s">
        <v>1599</v>
      </c>
    </row>
    <row r="1067" spans="1:6" ht="25.5">
      <c r="A1067" s="10" t="str">
        <f>HYPERLINK(SUBSTITUTE(T(hl_0),"{0}","900327859485350"),hn_0)</f>
        <v>ОВ</v>
      </c>
      <c r="B1067" s="9">
        <v>7320</v>
      </c>
      <c r="C1067" s="11" t="s">
        <v>707</v>
      </c>
      <c r="D1067" s="15" t="s">
        <v>715</v>
      </c>
      <c r="E1067" s="11" t="s">
        <v>16</v>
      </c>
      <c r="F1067" s="12" t="s">
        <v>1599</v>
      </c>
    </row>
    <row r="1068" spans="1:6" ht="25.5">
      <c r="A1068" s="10" t="str">
        <f>HYPERLINK(SUBSTITUTE(T(hl_0),"{0}","900327859642442"),hn_0)</f>
        <v>ОВ</v>
      </c>
      <c r="B1068" s="9">
        <v>7320</v>
      </c>
      <c r="C1068" s="11" t="s">
        <v>707</v>
      </c>
      <c r="D1068" s="15" t="s">
        <v>715</v>
      </c>
      <c r="E1068" s="11" t="s">
        <v>16</v>
      </c>
      <c r="F1068" s="12" t="s">
        <v>1599</v>
      </c>
    </row>
    <row r="1069" spans="1:6" ht="25.5">
      <c r="A1069" s="10" t="str">
        <f>HYPERLINK(SUBSTITUTE(T(hl_0),"{0}","326331970916695"),hn_0)</f>
        <v>ОВ</v>
      </c>
      <c r="B1069" s="9">
        <v>6500</v>
      </c>
      <c r="C1069" s="11" t="s">
        <v>716</v>
      </c>
      <c r="D1069" s="15" t="s">
        <v>1359</v>
      </c>
      <c r="E1069" s="11" t="s">
        <v>258</v>
      </c>
      <c r="F1069" s="12" t="s">
        <v>1599</v>
      </c>
    </row>
    <row r="1070" spans="1:6" ht="51">
      <c r="A1070" s="10" t="str">
        <f>HYPERLINK(SUBSTITUTE(T(hl_0),"{0}","333331454446874"),hn_0)</f>
        <v>ОВ</v>
      </c>
      <c r="B1070" s="9">
        <v>10000</v>
      </c>
      <c r="C1070" s="11" t="s">
        <v>717</v>
      </c>
      <c r="D1070" s="15" t="s">
        <v>718</v>
      </c>
      <c r="E1070" s="11" t="s">
        <v>336</v>
      </c>
      <c r="F1070" s="11" t="s">
        <v>1599</v>
      </c>
    </row>
    <row r="1071" spans="1:6" ht="25.5">
      <c r="A1071" s="10" t="str">
        <f>HYPERLINK(SUBSTITUTE(T(hl_0),"{0}","319330166290442"),hn_0)</f>
        <v>ОВ</v>
      </c>
      <c r="B1071" s="9">
        <v>8500</v>
      </c>
      <c r="C1071" s="11" t="s">
        <v>719</v>
      </c>
      <c r="D1071" s="15" t="s">
        <v>720</v>
      </c>
      <c r="E1071" s="11" t="s">
        <v>22</v>
      </c>
      <c r="F1071" s="11" t="s">
        <v>1599</v>
      </c>
    </row>
    <row r="1072" spans="1:6" ht="38.25">
      <c r="A1072" s="10" t="str">
        <f>HYPERLINK(SUBSTITUTE(T(hl_0),"{0}","321327134006320"),hn_0)</f>
        <v>ОВ</v>
      </c>
      <c r="B1072" s="9">
        <v>5500</v>
      </c>
      <c r="C1072" s="11" t="s">
        <v>721</v>
      </c>
      <c r="D1072" s="15" t="s">
        <v>1360</v>
      </c>
      <c r="E1072" s="11" t="s">
        <v>20</v>
      </c>
      <c r="F1072" s="12" t="s">
        <v>1599</v>
      </c>
    </row>
    <row r="1073" spans="1:6" ht="38.25">
      <c r="A1073" s="10" t="str">
        <f>HYPERLINK(SUBSTITUTE(T(hl_0),"{0}","321327598912064"),hn_0)</f>
        <v>ОВ</v>
      </c>
      <c r="B1073" s="9">
        <v>5500</v>
      </c>
      <c r="C1073" s="11" t="s">
        <v>721</v>
      </c>
      <c r="D1073" s="15" t="s">
        <v>1361</v>
      </c>
      <c r="E1073" s="11" t="s">
        <v>409</v>
      </c>
      <c r="F1073" s="12" t="s">
        <v>1599</v>
      </c>
    </row>
    <row r="1074" spans="1:6" ht="25.5">
      <c r="A1074" s="10" t="str">
        <f>HYPERLINK(SUBSTITUTE(T(hl_0),"{0}","320327075071605"),hn_0)</f>
        <v>ОВ</v>
      </c>
      <c r="B1074" s="9">
        <v>6708</v>
      </c>
      <c r="C1074" s="11" t="s">
        <v>722</v>
      </c>
      <c r="D1074" s="15" t="s">
        <v>1362</v>
      </c>
      <c r="E1074" s="11" t="s">
        <v>23</v>
      </c>
      <c r="F1074" s="12" t="s">
        <v>1599</v>
      </c>
    </row>
    <row r="1075" spans="1:6" ht="25.5">
      <c r="A1075" s="10" t="str">
        <f>HYPERLINK(SUBSTITUTE(T(hl_0),"{0}","321331626137363"),hn_0)</f>
        <v>ОВ</v>
      </c>
      <c r="B1075" s="9">
        <v>6500</v>
      </c>
      <c r="C1075" s="11" t="s">
        <v>722</v>
      </c>
      <c r="D1075" s="15" t="s">
        <v>1363</v>
      </c>
      <c r="E1075" s="11" t="s">
        <v>723</v>
      </c>
      <c r="F1075" s="12" t="s">
        <v>1599</v>
      </c>
    </row>
    <row r="1076" spans="1:6" ht="25.5">
      <c r="A1076" s="10" t="str">
        <f>HYPERLINK(SUBSTITUTE(T(hl_0),"{0}","326327467500164"),hn_0)</f>
        <v>ОВ</v>
      </c>
      <c r="B1076" s="9">
        <v>5500</v>
      </c>
      <c r="C1076" s="11" t="s">
        <v>722</v>
      </c>
      <c r="D1076" s="15" t="s">
        <v>1364</v>
      </c>
      <c r="E1076" s="11" t="s">
        <v>622</v>
      </c>
      <c r="F1076" s="12" t="s">
        <v>1599</v>
      </c>
    </row>
    <row r="1077" spans="1:6" ht="25.5">
      <c r="A1077" s="10" t="str">
        <f>HYPERLINK(SUBSTITUTE(T(hl_0),"{0}","900331900852741"),hn_0)</f>
        <v>ОВ</v>
      </c>
      <c r="B1077" s="9">
        <v>6000</v>
      </c>
      <c r="C1077" s="11" t="s">
        <v>724</v>
      </c>
      <c r="D1077" s="15" t="s">
        <v>725</v>
      </c>
      <c r="E1077" s="11" t="s">
        <v>16</v>
      </c>
      <c r="F1077" s="12" t="s">
        <v>1599</v>
      </c>
    </row>
    <row r="1078" spans="1:6" ht="51">
      <c r="A1078" s="10" t="str">
        <f>HYPERLINK(SUBSTITUTE(T(hl_0),"{0}","900327917023177"),hn_0)</f>
        <v>ОВ</v>
      </c>
      <c r="B1078" s="9">
        <v>12000</v>
      </c>
      <c r="C1078" s="11" t="s">
        <v>726</v>
      </c>
      <c r="D1078" s="15" t="s">
        <v>1365</v>
      </c>
      <c r="E1078" s="11" t="s">
        <v>16</v>
      </c>
      <c r="F1078" s="12" t="s">
        <v>1599</v>
      </c>
    </row>
    <row r="1079" spans="1:6" ht="38.25">
      <c r="A1079" s="10" t="str">
        <f>HYPERLINK(SUBSTITUTE(T(hl_0),"{0}","900327941721405"),hn_0)</f>
        <v>ОВ</v>
      </c>
      <c r="B1079" s="9">
        <v>15000</v>
      </c>
      <c r="C1079" s="11" t="s">
        <v>727</v>
      </c>
      <c r="D1079" s="15" t="s">
        <v>1366</v>
      </c>
      <c r="E1079" s="11" t="s">
        <v>20</v>
      </c>
      <c r="F1079" s="12" t="s">
        <v>1599</v>
      </c>
    </row>
    <row r="1080" spans="1:6" ht="25.5">
      <c r="A1080" s="10" t="str">
        <f>HYPERLINK(SUBSTITUTE(T(hl_0),"{0}","900327181924127"),hn_0)</f>
        <v>ОВ</v>
      </c>
      <c r="B1080" s="9">
        <v>5200</v>
      </c>
      <c r="C1080" s="11" t="s">
        <v>728</v>
      </c>
      <c r="D1080" s="15" t="s">
        <v>1367</v>
      </c>
      <c r="E1080" s="11" t="s">
        <v>16</v>
      </c>
      <c r="F1080" s="12" t="s">
        <v>1599</v>
      </c>
    </row>
    <row r="1081" spans="1:6" ht="25.5">
      <c r="A1081" s="10" t="str">
        <f>HYPERLINK(SUBSTITUTE(T(hl_0),"{0}","900330467101378"),hn_0)</f>
        <v>ОВ</v>
      </c>
      <c r="B1081" s="9">
        <v>6000</v>
      </c>
      <c r="C1081" s="11" t="s">
        <v>728</v>
      </c>
      <c r="D1081" s="15" t="s">
        <v>729</v>
      </c>
      <c r="E1081" s="11" t="s">
        <v>730</v>
      </c>
      <c r="F1081" s="12" t="s">
        <v>1599</v>
      </c>
    </row>
    <row r="1082" spans="1:6" ht="51">
      <c r="A1082" s="10" t="str">
        <f>HYPERLINK(SUBSTITUTE(T(hl_0),"{0}","329332077841169"),hn_0)</f>
        <v>ОВ</v>
      </c>
      <c r="B1082" s="9">
        <v>5500</v>
      </c>
      <c r="C1082" s="11" t="s">
        <v>731</v>
      </c>
      <c r="D1082" s="15" t="s">
        <v>732</v>
      </c>
      <c r="E1082" s="11" t="s">
        <v>733</v>
      </c>
      <c r="F1082" s="11" t="s">
        <v>1599</v>
      </c>
    </row>
    <row r="1083" spans="1:6" ht="25.5">
      <c r="A1083" s="10" t="str">
        <f>HYPERLINK(SUBSTITUTE(T(hl_0),"{0}","900332195662670"),hn_0)</f>
        <v>ОВ</v>
      </c>
      <c r="B1083" s="9">
        <v>7500</v>
      </c>
      <c r="C1083" s="11" t="s">
        <v>734</v>
      </c>
      <c r="D1083" s="15" t="s">
        <v>735</v>
      </c>
      <c r="E1083" s="11" t="s">
        <v>16</v>
      </c>
      <c r="F1083" s="12" t="s">
        <v>1599</v>
      </c>
    </row>
    <row r="1084" spans="1:6" ht="38.25">
      <c r="A1084" s="10" t="str">
        <f>HYPERLINK(SUBSTITUTE(T(hl_0),"{0}","321331536150939"),hn_0)</f>
        <v>ОВ</v>
      </c>
      <c r="B1084" s="9">
        <v>4723</v>
      </c>
      <c r="C1084" s="11" t="s">
        <v>736</v>
      </c>
      <c r="D1084" s="15" t="s">
        <v>1368</v>
      </c>
      <c r="E1084" s="11" t="s">
        <v>20</v>
      </c>
      <c r="F1084" s="12" t="s">
        <v>1599</v>
      </c>
    </row>
    <row r="1085" spans="1:6" ht="12.75">
      <c r="A1085" s="10" t="str">
        <f>HYPERLINK(SUBSTITUTE(T(hl_0),"{0}","319327465941812"),hn_0)</f>
        <v>ОВ</v>
      </c>
      <c r="B1085" s="9">
        <v>12000</v>
      </c>
      <c r="C1085" s="11" t="s">
        <v>737</v>
      </c>
      <c r="D1085" s="15" t="s">
        <v>738</v>
      </c>
      <c r="E1085" s="11" t="s">
        <v>22</v>
      </c>
      <c r="F1085" s="11" t="s">
        <v>1599</v>
      </c>
    </row>
    <row r="1086" spans="1:6" ht="63.75">
      <c r="A1086" s="10" t="str">
        <f>HYPERLINK(SUBSTITUTE(T(hl_0),"{0}","332329115882101"),hn_0)</f>
        <v>ОВ</v>
      </c>
      <c r="B1086" s="9">
        <v>8000</v>
      </c>
      <c r="C1086" s="11" t="s">
        <v>737</v>
      </c>
      <c r="D1086" s="15" t="s">
        <v>1369</v>
      </c>
      <c r="E1086" s="11" t="s">
        <v>14</v>
      </c>
      <c r="F1086" s="11" t="s">
        <v>1599</v>
      </c>
    </row>
    <row r="1087" spans="1:6" ht="63.75">
      <c r="A1087" s="10" t="str">
        <f>HYPERLINK(SUBSTITUTE(T(hl_0),"{0}","320329967025321"),hn_0)</f>
        <v>ОВ</v>
      </c>
      <c r="B1087" s="9">
        <v>5383</v>
      </c>
      <c r="C1087" s="11" t="s">
        <v>739</v>
      </c>
      <c r="D1087" s="15" t="s">
        <v>1370</v>
      </c>
      <c r="E1087" s="11" t="s">
        <v>23</v>
      </c>
      <c r="F1087" s="12" t="s">
        <v>1599</v>
      </c>
    </row>
    <row r="1088" spans="1:6" ht="38.25">
      <c r="A1088" s="10" t="str">
        <f>HYPERLINK(SUBSTITUTE(T(hl_0),"{0}","326332026922503"),hn_0)</f>
        <v>ОВ</v>
      </c>
      <c r="B1088" s="9">
        <v>6000</v>
      </c>
      <c r="C1088" s="11" t="s">
        <v>740</v>
      </c>
      <c r="D1088" s="15" t="s">
        <v>1371</v>
      </c>
      <c r="E1088" s="11" t="s">
        <v>622</v>
      </c>
      <c r="F1088" s="12" t="s">
        <v>1599</v>
      </c>
    </row>
    <row r="1089" spans="1:6" ht="25.5">
      <c r="A1089" s="10" t="str">
        <f>HYPERLINK(SUBSTITUTE(T(hl_0),"{0}","333331139537158"),hn_0)</f>
        <v>ОВ</v>
      </c>
      <c r="B1089" s="9">
        <v>6000</v>
      </c>
      <c r="C1089" s="11" t="s">
        <v>740</v>
      </c>
      <c r="D1089" s="15" t="s">
        <v>741</v>
      </c>
      <c r="E1089" s="11" t="s">
        <v>336</v>
      </c>
      <c r="F1089" s="11" t="s">
        <v>1599</v>
      </c>
    </row>
    <row r="1090" spans="1:6" ht="12.75">
      <c r="A1090" s="10" t="str">
        <f>HYPERLINK(SUBSTITUTE(T(hl_0),"{0}","900331816916640"),hn_0)</f>
        <v>ОВ</v>
      </c>
      <c r="B1090" s="9">
        <v>7000</v>
      </c>
      <c r="C1090" s="11" t="s">
        <v>742</v>
      </c>
      <c r="D1090" s="15" t="s">
        <v>743</v>
      </c>
      <c r="E1090" s="11" t="s">
        <v>16</v>
      </c>
      <c r="F1090" s="12" t="s">
        <v>1599</v>
      </c>
    </row>
    <row r="1091" spans="1:6" ht="25.5">
      <c r="A1091" s="10" t="str">
        <f>HYPERLINK(SUBSTITUTE(T(hl_0),"{0}","326328323911398"),hn_0)</f>
        <v>ОВ</v>
      </c>
      <c r="B1091" s="9">
        <v>5500</v>
      </c>
      <c r="C1091" s="11" t="s">
        <v>744</v>
      </c>
      <c r="D1091" s="15" t="s">
        <v>1372</v>
      </c>
      <c r="E1091" s="11" t="s">
        <v>258</v>
      </c>
      <c r="F1091" s="12" t="s">
        <v>1599</v>
      </c>
    </row>
    <row r="1092" spans="1:6" ht="38.25">
      <c r="A1092" s="10" t="str">
        <f>HYPERLINK(SUBSTITUTE(T(hl_0),"{0}","320332051321496"),hn_0)</f>
        <v>ОВ</v>
      </c>
      <c r="B1092" s="9">
        <v>4800</v>
      </c>
      <c r="C1092" s="11" t="s">
        <v>745</v>
      </c>
      <c r="D1092" s="15" t="s">
        <v>1373</v>
      </c>
      <c r="E1092" s="11" t="s">
        <v>23</v>
      </c>
      <c r="F1092" s="12" t="s">
        <v>1599</v>
      </c>
    </row>
    <row r="1093" spans="1:6" ht="38.25">
      <c r="A1093" s="10" t="str">
        <f>HYPERLINK(SUBSTITUTE(T(hl_0),"{0}","900324876537927"),hn_0)</f>
        <v>ОВ</v>
      </c>
      <c r="B1093" s="9">
        <v>5500</v>
      </c>
      <c r="C1093" s="11" t="s">
        <v>746</v>
      </c>
      <c r="D1093" s="15" t="s">
        <v>747</v>
      </c>
      <c r="E1093" s="11" t="s">
        <v>16</v>
      </c>
      <c r="F1093" s="12" t="s">
        <v>1599</v>
      </c>
    </row>
    <row r="1094" spans="1:6" ht="38.25">
      <c r="A1094" s="10" t="str">
        <f>HYPERLINK(SUBSTITUTE(T(hl_0),"{0}","900325181389104"),hn_0)</f>
        <v>ОВ</v>
      </c>
      <c r="B1094" s="9">
        <v>5500</v>
      </c>
      <c r="C1094" s="11" t="s">
        <v>746</v>
      </c>
      <c r="D1094" s="15" t="s">
        <v>1374</v>
      </c>
      <c r="E1094" s="11" t="s">
        <v>16</v>
      </c>
      <c r="F1094" s="12" t="s">
        <v>1599</v>
      </c>
    </row>
    <row r="1095" spans="1:6" ht="25.5">
      <c r="A1095" s="10" t="str">
        <f>HYPERLINK(SUBSTITUTE(T(hl_0),"{0}","900327206681723"),hn_0)</f>
        <v>ОВ</v>
      </c>
      <c r="B1095" s="9">
        <v>6000</v>
      </c>
      <c r="C1095" s="11" t="s">
        <v>746</v>
      </c>
      <c r="D1095" s="15" t="s">
        <v>748</v>
      </c>
      <c r="E1095" s="11" t="s">
        <v>16</v>
      </c>
      <c r="F1095" s="12" t="s">
        <v>1599</v>
      </c>
    </row>
    <row r="1096" spans="1:6" ht="25.5">
      <c r="A1096" s="10" t="str">
        <f>HYPERLINK(SUBSTITUTE(T(hl_0),"{0}","900327206707886"),hn_0)</f>
        <v>ОВ</v>
      </c>
      <c r="B1096" s="9">
        <v>6000</v>
      </c>
      <c r="C1096" s="11" t="s">
        <v>746</v>
      </c>
      <c r="D1096" s="15" t="s">
        <v>748</v>
      </c>
      <c r="E1096" s="11" t="s">
        <v>244</v>
      </c>
      <c r="F1096" s="12" t="s">
        <v>1599</v>
      </c>
    </row>
    <row r="1097" spans="1:6" ht="25.5">
      <c r="A1097" s="10" t="str">
        <f>HYPERLINK(SUBSTITUTE(T(hl_0),"{0}","900327206628118"),hn_0)</f>
        <v>ОВ</v>
      </c>
      <c r="B1097" s="9">
        <v>6000</v>
      </c>
      <c r="C1097" s="11" t="s">
        <v>746</v>
      </c>
      <c r="D1097" s="15" t="s">
        <v>748</v>
      </c>
      <c r="E1097" s="11" t="s">
        <v>244</v>
      </c>
      <c r="F1097" s="12" t="s">
        <v>1599</v>
      </c>
    </row>
    <row r="1098" spans="1:6" ht="25.5">
      <c r="A1098" s="10" t="str">
        <f>HYPERLINK(SUBSTITUTE(T(hl_0),"{0}","900327206664080"),hn_0)</f>
        <v>ОВ</v>
      </c>
      <c r="B1098" s="9">
        <v>6000</v>
      </c>
      <c r="C1098" s="11" t="s">
        <v>746</v>
      </c>
      <c r="D1098" s="15" t="s">
        <v>748</v>
      </c>
      <c r="E1098" s="11" t="s">
        <v>16</v>
      </c>
      <c r="F1098" s="12" t="s">
        <v>1599</v>
      </c>
    </row>
    <row r="1099" spans="1:6" ht="25.5">
      <c r="A1099" s="10" t="str">
        <f>HYPERLINK(SUBSTITUTE(T(hl_0),"{0}","321330493701149"),hn_0)</f>
        <v>ОВ</v>
      </c>
      <c r="B1099" s="9">
        <v>4800</v>
      </c>
      <c r="C1099" s="11" t="s">
        <v>749</v>
      </c>
      <c r="D1099" s="15" t="s">
        <v>1375</v>
      </c>
      <c r="E1099" s="11" t="s">
        <v>20</v>
      </c>
      <c r="F1099" s="12" t="s">
        <v>1599</v>
      </c>
    </row>
    <row r="1100" spans="1:6" ht="12.75">
      <c r="A1100" s="10" t="str">
        <f>HYPERLINK(SUBSTITUTE(T(hl_0),"{0}","324331648299407"),hn_0)</f>
        <v>ОВ</v>
      </c>
      <c r="B1100" s="9">
        <v>5000</v>
      </c>
      <c r="C1100" s="11" t="s">
        <v>750</v>
      </c>
      <c r="D1100" s="15" t="s">
        <v>1376</v>
      </c>
      <c r="E1100" s="11" t="s">
        <v>332</v>
      </c>
      <c r="F1100" s="11" t="s">
        <v>1599</v>
      </c>
    </row>
    <row r="1101" spans="1:6" ht="12.75">
      <c r="A1101" s="10" t="str">
        <f>HYPERLINK(SUBSTITUTE(T(hl_0),"{0}","324330333367191"),hn_0)</f>
        <v>ОВ</v>
      </c>
      <c r="B1101" s="9">
        <v>8000</v>
      </c>
      <c r="C1101" s="11" t="s">
        <v>751</v>
      </c>
      <c r="D1101" s="15" t="s">
        <v>752</v>
      </c>
      <c r="E1101" s="11" t="s">
        <v>753</v>
      </c>
      <c r="F1101" s="11" t="s">
        <v>1599</v>
      </c>
    </row>
    <row r="1102" spans="1:6" ht="12.75">
      <c r="A1102" s="10" t="str">
        <f>HYPERLINK(SUBSTITUTE(T(hl_0),"{0}","319331995100219"),hn_0)</f>
        <v>ОВ</v>
      </c>
      <c r="B1102" s="9">
        <v>8000</v>
      </c>
      <c r="C1102" s="11" t="s">
        <v>754</v>
      </c>
      <c r="D1102" s="15" t="s">
        <v>1377</v>
      </c>
      <c r="E1102" s="11" t="s">
        <v>22</v>
      </c>
      <c r="F1102" s="11" t="s">
        <v>1599</v>
      </c>
    </row>
    <row r="1103" spans="1:6" ht="25.5">
      <c r="A1103" s="10" t="str">
        <f>HYPERLINK(SUBSTITUTE(T(hl_0),"{0}","320326022874154"),hn_0)</f>
        <v>ОВ</v>
      </c>
      <c r="B1103" s="9">
        <v>7000</v>
      </c>
      <c r="C1103" s="11" t="s">
        <v>754</v>
      </c>
      <c r="D1103" s="15" t="s">
        <v>1378</v>
      </c>
      <c r="E1103" s="11" t="s">
        <v>315</v>
      </c>
      <c r="F1103" s="12" t="s">
        <v>1599</v>
      </c>
    </row>
    <row r="1104" spans="1:6" ht="25.5">
      <c r="A1104" s="10" t="str">
        <f>HYPERLINK(SUBSTITUTE(T(hl_0),"{0}","320327204934168"),hn_0)</f>
        <v>ОВ</v>
      </c>
      <c r="B1104" s="9">
        <v>5500</v>
      </c>
      <c r="C1104" s="11" t="s">
        <v>754</v>
      </c>
      <c r="D1104" s="15" t="s">
        <v>1379</v>
      </c>
      <c r="E1104" s="11" t="s">
        <v>23</v>
      </c>
      <c r="F1104" s="12" t="s">
        <v>1599</v>
      </c>
    </row>
    <row r="1105" spans="1:6" ht="25.5">
      <c r="A1105" s="10" t="str">
        <f>HYPERLINK(SUBSTITUTE(T(hl_0),"{0}","321328452805837"),hn_0)</f>
        <v>ОВ</v>
      </c>
      <c r="B1105" s="9">
        <v>5000</v>
      </c>
      <c r="C1105" s="11" t="s">
        <v>754</v>
      </c>
      <c r="D1105" s="15" t="s">
        <v>1380</v>
      </c>
      <c r="E1105" s="11" t="s">
        <v>20</v>
      </c>
      <c r="F1105" s="12" t="s">
        <v>1599</v>
      </c>
    </row>
    <row r="1106" spans="1:6" ht="51">
      <c r="A1106" s="10" t="str">
        <f>HYPERLINK(SUBSTITUTE(T(hl_0),"{0}","321328249827904"),hn_0)</f>
        <v>ОВ</v>
      </c>
      <c r="B1106" s="9">
        <v>20000</v>
      </c>
      <c r="C1106" s="11" t="s">
        <v>754</v>
      </c>
      <c r="D1106" s="15" t="s">
        <v>1381</v>
      </c>
      <c r="E1106" s="11" t="s">
        <v>20</v>
      </c>
      <c r="F1106" s="12" t="s">
        <v>1599</v>
      </c>
    </row>
    <row r="1107" spans="1:6" ht="25.5">
      <c r="A1107" s="10" t="str">
        <f>HYPERLINK(SUBSTITUTE(T(hl_0),"{0}","321332000634954"),hn_0)</f>
        <v>ОВ</v>
      </c>
      <c r="B1107" s="9">
        <v>5000</v>
      </c>
      <c r="C1107" s="11" t="s">
        <v>754</v>
      </c>
      <c r="D1107" s="15" t="s">
        <v>1382</v>
      </c>
      <c r="E1107" s="11" t="s">
        <v>20</v>
      </c>
      <c r="F1107" s="12" t="s">
        <v>1599</v>
      </c>
    </row>
    <row r="1108" spans="1:6" ht="38.25">
      <c r="A1108" s="10" t="str">
        <f>HYPERLINK(SUBSTITUTE(T(hl_0),"{0}","321331875008667"),hn_0)</f>
        <v>ОВ</v>
      </c>
      <c r="B1108" s="9">
        <v>15000</v>
      </c>
      <c r="C1108" s="11" t="s">
        <v>754</v>
      </c>
      <c r="D1108" s="15" t="s">
        <v>1383</v>
      </c>
      <c r="E1108" s="11" t="s">
        <v>20</v>
      </c>
      <c r="F1108" s="12" t="s">
        <v>1599</v>
      </c>
    </row>
    <row r="1109" spans="1:6" ht="38.25">
      <c r="A1109" s="10" t="str">
        <f>HYPERLINK(SUBSTITUTE(T(hl_0),"{0}","321327206363480"),hn_0)</f>
        <v>ОВ</v>
      </c>
      <c r="B1109" s="9">
        <v>15000</v>
      </c>
      <c r="C1109" s="11" t="s">
        <v>754</v>
      </c>
      <c r="D1109" s="15" t="s">
        <v>1384</v>
      </c>
      <c r="E1109" s="11" t="s">
        <v>20</v>
      </c>
      <c r="F1109" s="12" t="s">
        <v>1599</v>
      </c>
    </row>
    <row r="1110" spans="1:6" ht="25.5">
      <c r="A1110" s="10" t="str">
        <f>HYPERLINK(SUBSTITUTE(T(hl_0),"{0}","321331196235028"),hn_0)</f>
        <v>ОВ</v>
      </c>
      <c r="B1110" s="9">
        <v>6500</v>
      </c>
      <c r="C1110" s="11" t="s">
        <v>754</v>
      </c>
      <c r="D1110" s="15" t="s">
        <v>1385</v>
      </c>
      <c r="E1110" s="11" t="s">
        <v>20</v>
      </c>
      <c r="F1110" s="12" t="s">
        <v>1599</v>
      </c>
    </row>
    <row r="1111" spans="1:6" ht="25.5">
      <c r="A1111" s="10" t="str">
        <f>HYPERLINK(SUBSTITUTE(T(hl_0),"{0}","321331196235005"),hn_0)</f>
        <v>ОВ</v>
      </c>
      <c r="B1111" s="9">
        <v>6500</v>
      </c>
      <c r="C1111" s="11" t="s">
        <v>754</v>
      </c>
      <c r="D1111" s="15" t="s">
        <v>1385</v>
      </c>
      <c r="E1111" s="11" t="s">
        <v>20</v>
      </c>
      <c r="F1111" s="12" t="s">
        <v>1599</v>
      </c>
    </row>
    <row r="1112" spans="1:6" ht="25.5">
      <c r="A1112" s="10" t="str">
        <f>HYPERLINK(SUBSTITUTE(T(hl_0),"{0}","321331196235011"),hn_0)</f>
        <v>ОВ</v>
      </c>
      <c r="B1112" s="9">
        <v>6500</v>
      </c>
      <c r="C1112" s="11" t="s">
        <v>754</v>
      </c>
      <c r="D1112" s="15" t="s">
        <v>1385</v>
      </c>
      <c r="E1112" s="11" t="s">
        <v>20</v>
      </c>
      <c r="F1112" s="12" t="s">
        <v>1599</v>
      </c>
    </row>
    <row r="1113" spans="1:6" ht="25.5">
      <c r="A1113" s="10" t="str">
        <f>HYPERLINK(SUBSTITUTE(T(hl_0),"{0}","321331196235017"),hn_0)</f>
        <v>ОВ</v>
      </c>
      <c r="B1113" s="9">
        <v>6500</v>
      </c>
      <c r="C1113" s="11" t="s">
        <v>754</v>
      </c>
      <c r="D1113" s="15" t="s">
        <v>1385</v>
      </c>
      <c r="E1113" s="11" t="s">
        <v>20</v>
      </c>
      <c r="F1113" s="12" t="s">
        <v>1599</v>
      </c>
    </row>
    <row r="1114" spans="1:6" ht="25.5">
      <c r="A1114" s="10" t="str">
        <f>HYPERLINK(SUBSTITUTE(T(hl_0),"{0}","321331196235106"),hn_0)</f>
        <v>ОВ</v>
      </c>
      <c r="B1114" s="9">
        <v>6500</v>
      </c>
      <c r="C1114" s="11" t="s">
        <v>754</v>
      </c>
      <c r="D1114" s="15" t="s">
        <v>1385</v>
      </c>
      <c r="E1114" s="11" t="s">
        <v>20</v>
      </c>
      <c r="F1114" s="12" t="s">
        <v>1599</v>
      </c>
    </row>
    <row r="1115" spans="1:6" ht="25.5">
      <c r="A1115" s="10" t="str">
        <f>HYPERLINK(SUBSTITUTE(T(hl_0),"{0}","321329090032682"),hn_0)</f>
        <v>ОВ</v>
      </c>
      <c r="B1115" s="9">
        <v>25000</v>
      </c>
      <c r="C1115" s="11" t="s">
        <v>754</v>
      </c>
      <c r="D1115" s="15" t="s">
        <v>1386</v>
      </c>
      <c r="E1115" s="11" t="s">
        <v>20</v>
      </c>
      <c r="F1115" s="12" t="s">
        <v>1599</v>
      </c>
    </row>
    <row r="1116" spans="1:6" ht="12.75">
      <c r="A1116" s="10" t="str">
        <f>HYPERLINK(SUBSTITUTE(T(hl_0),"{0}","322331534106043"),hn_0)</f>
        <v>ОВ</v>
      </c>
      <c r="B1116" s="9">
        <v>8000</v>
      </c>
      <c r="C1116" s="11" t="s">
        <v>754</v>
      </c>
      <c r="D1116" s="15" t="s">
        <v>755</v>
      </c>
      <c r="E1116" s="11" t="s">
        <v>37</v>
      </c>
      <c r="F1116" s="12" t="s">
        <v>1599</v>
      </c>
    </row>
    <row r="1117" spans="1:6" ht="51">
      <c r="A1117" s="10" t="str">
        <f>HYPERLINK(SUBSTITUTE(T(hl_0),"{0}","323332171305071"),hn_0)</f>
        <v>ОВ</v>
      </c>
      <c r="B1117" s="9">
        <v>4723</v>
      </c>
      <c r="C1117" s="11" t="s">
        <v>754</v>
      </c>
      <c r="D1117" s="15" t="s">
        <v>756</v>
      </c>
      <c r="E1117" s="11" t="s">
        <v>24</v>
      </c>
      <c r="F1117" s="11" t="s">
        <v>1599</v>
      </c>
    </row>
    <row r="1118" spans="1:6" ht="102">
      <c r="A1118" s="10" t="str">
        <f>HYPERLINK(SUBSTITUTE(T(hl_0),"{0}","324331625116679"),hn_0)</f>
        <v>ОВ</v>
      </c>
      <c r="B1118" s="9">
        <v>5200</v>
      </c>
      <c r="C1118" s="11" t="s">
        <v>754</v>
      </c>
      <c r="D1118" s="15" t="s">
        <v>757</v>
      </c>
      <c r="E1118" s="11" t="s">
        <v>332</v>
      </c>
      <c r="F1118" s="11" t="s">
        <v>1599</v>
      </c>
    </row>
    <row r="1119" spans="1:6" ht="12.75">
      <c r="A1119" s="10" t="str">
        <f>HYPERLINK(SUBSTITUTE(T(hl_0),"{0}","324332173059465"),hn_0)</f>
        <v>ОВ</v>
      </c>
      <c r="B1119" s="9">
        <v>4900</v>
      </c>
      <c r="C1119" s="11" t="s">
        <v>754</v>
      </c>
      <c r="D1119" s="15" t="s">
        <v>758</v>
      </c>
      <c r="E1119" s="11" t="s">
        <v>332</v>
      </c>
      <c r="F1119" s="11" t="s">
        <v>1599</v>
      </c>
    </row>
    <row r="1120" spans="1:6" ht="51">
      <c r="A1120" s="10" t="str">
        <f>HYPERLINK(SUBSTITUTE(T(hl_0),"{0}","325332252232309"),hn_0)</f>
        <v>ОВ</v>
      </c>
      <c r="B1120" s="9">
        <v>7100</v>
      </c>
      <c r="C1120" s="11" t="s">
        <v>754</v>
      </c>
      <c r="D1120" s="15" t="s">
        <v>1387</v>
      </c>
      <c r="E1120" s="11" t="s">
        <v>759</v>
      </c>
      <c r="F1120" s="12" t="s">
        <v>1599</v>
      </c>
    </row>
    <row r="1121" spans="1:6" ht="12.75">
      <c r="A1121" s="10" t="str">
        <f>HYPERLINK(SUBSTITUTE(T(hl_0),"{0}","325332198332064"),hn_0)</f>
        <v>ОВ</v>
      </c>
      <c r="B1121" s="9">
        <v>10200</v>
      </c>
      <c r="C1121" s="11" t="s">
        <v>754</v>
      </c>
      <c r="D1121" s="15" t="s">
        <v>1388</v>
      </c>
      <c r="E1121" s="11" t="s">
        <v>16</v>
      </c>
      <c r="F1121" s="12" t="s">
        <v>1599</v>
      </c>
    </row>
    <row r="1122" spans="1:6" ht="25.5">
      <c r="A1122" s="10" t="str">
        <f>HYPERLINK(SUBSTITUTE(T(hl_0),"{0}","326332197781505"),hn_0)</f>
        <v>ОВ</v>
      </c>
      <c r="B1122" s="9">
        <v>6000</v>
      </c>
      <c r="C1122" s="11" t="s">
        <v>754</v>
      </c>
      <c r="D1122" s="15" t="s">
        <v>1389</v>
      </c>
      <c r="E1122" s="11" t="s">
        <v>258</v>
      </c>
      <c r="F1122" s="12" t="s">
        <v>1599</v>
      </c>
    </row>
    <row r="1123" spans="1:6" ht="12.75">
      <c r="A1123" s="10" t="str">
        <f>HYPERLINK(SUBSTITUTE(T(hl_0),"{0}","327332197004240"),hn_0)</f>
        <v>ОВ</v>
      </c>
      <c r="B1123" s="9">
        <v>4800</v>
      </c>
      <c r="C1123" s="11" t="s">
        <v>754</v>
      </c>
      <c r="D1123" s="15" t="s">
        <v>1391</v>
      </c>
      <c r="E1123" s="11" t="s">
        <v>601</v>
      </c>
      <c r="F1123" s="12" t="s">
        <v>1599</v>
      </c>
    </row>
    <row r="1124" spans="1:6" ht="12.75">
      <c r="A1124" s="10" t="str">
        <f>HYPERLINK(SUBSTITUTE(T(hl_0),"{0}","327332197004578"),hn_0)</f>
        <v>ОВ</v>
      </c>
      <c r="B1124" s="9">
        <v>4800</v>
      </c>
      <c r="C1124" s="11" t="s">
        <v>754</v>
      </c>
      <c r="D1124" s="15" t="s">
        <v>1390</v>
      </c>
      <c r="E1124" s="11" t="s">
        <v>601</v>
      </c>
      <c r="F1124" s="12" t="s">
        <v>1599</v>
      </c>
    </row>
    <row r="1125" spans="1:6" ht="38.25">
      <c r="A1125" s="10" t="str">
        <f>HYPERLINK(SUBSTITUTE(T(hl_0),"{0}","327328424074144"),hn_0)</f>
        <v>ОВ</v>
      </c>
      <c r="B1125" s="9">
        <v>7000</v>
      </c>
      <c r="C1125" s="11" t="s">
        <v>754</v>
      </c>
      <c r="D1125" s="15" t="s">
        <v>1392</v>
      </c>
      <c r="E1125" s="11" t="s">
        <v>42</v>
      </c>
      <c r="F1125" s="12" t="s">
        <v>1599</v>
      </c>
    </row>
    <row r="1126" spans="1:6" ht="12.75">
      <c r="A1126" s="10" t="str">
        <f>HYPERLINK(SUBSTITUTE(T(hl_0),"{0}","328332251947540"),hn_0)</f>
        <v>ОВ</v>
      </c>
      <c r="B1126" s="9">
        <v>6000</v>
      </c>
      <c r="C1126" s="11" t="s">
        <v>754</v>
      </c>
      <c r="D1126" s="15" t="s">
        <v>760</v>
      </c>
      <c r="E1126" s="11" t="s">
        <v>61</v>
      </c>
      <c r="F1126" s="11" t="s">
        <v>1599</v>
      </c>
    </row>
    <row r="1127" spans="1:6" ht="12.75">
      <c r="A1127" s="10" t="str">
        <f>HYPERLINK(SUBSTITUTE(T(hl_0),"{0}","329332145934948"),hn_0)</f>
        <v>ОВ</v>
      </c>
      <c r="B1127" s="9">
        <v>20000</v>
      </c>
      <c r="C1127" s="11" t="s">
        <v>754</v>
      </c>
      <c r="D1127" s="15" t="s">
        <v>1394</v>
      </c>
      <c r="E1127" s="11" t="s">
        <v>44</v>
      </c>
      <c r="F1127" s="11" t="s">
        <v>1599</v>
      </c>
    </row>
    <row r="1128" spans="1:6" ht="51">
      <c r="A1128" s="10" t="str">
        <f>HYPERLINK(SUBSTITUTE(T(hl_0),"{0}","330331508175966"),hn_0)</f>
        <v>ОВ</v>
      </c>
      <c r="B1128" s="9">
        <v>7000</v>
      </c>
      <c r="C1128" s="11" t="s">
        <v>754</v>
      </c>
      <c r="D1128" s="15" t="s">
        <v>1393</v>
      </c>
      <c r="E1128" s="11" t="s">
        <v>28</v>
      </c>
      <c r="F1128" s="11" t="s">
        <v>1599</v>
      </c>
    </row>
    <row r="1129" spans="1:6" ht="38.25">
      <c r="A1129" s="10" t="str">
        <f>HYPERLINK(SUBSTITUTE(T(hl_0),"{0}","330331675955568"),hn_0)</f>
        <v>ОВ</v>
      </c>
      <c r="B1129" s="9">
        <v>8000</v>
      </c>
      <c r="C1129" s="11" t="s">
        <v>754</v>
      </c>
      <c r="D1129" s="15" t="s">
        <v>1395</v>
      </c>
      <c r="E1129" s="11" t="s">
        <v>45</v>
      </c>
      <c r="F1129" s="11" t="s">
        <v>1599</v>
      </c>
    </row>
    <row r="1130" spans="1:6" ht="12.75">
      <c r="A1130" s="10" t="str">
        <f>HYPERLINK(SUBSTITUTE(T(hl_0),"{0}","331332223923893"),hn_0)</f>
        <v>ОВ</v>
      </c>
      <c r="B1130" s="9">
        <v>6000</v>
      </c>
      <c r="C1130" s="11" t="s">
        <v>754</v>
      </c>
      <c r="D1130" s="15" t="s">
        <v>761</v>
      </c>
      <c r="E1130" s="11" t="s">
        <v>38</v>
      </c>
      <c r="F1130" s="11" t="s">
        <v>1599</v>
      </c>
    </row>
    <row r="1131" spans="1:6" ht="12.75">
      <c r="A1131" s="10" t="str">
        <f>HYPERLINK(SUBSTITUTE(T(hl_0),"{0}","331332222079286"),hn_0)</f>
        <v>ОВ</v>
      </c>
      <c r="B1131" s="9">
        <v>10000</v>
      </c>
      <c r="C1131" s="11" t="s">
        <v>754</v>
      </c>
      <c r="D1131" s="15" t="s">
        <v>762</v>
      </c>
      <c r="E1131" s="11" t="s">
        <v>38</v>
      </c>
      <c r="F1131" s="11" t="s">
        <v>1599</v>
      </c>
    </row>
    <row r="1132" spans="1:6" ht="12.75">
      <c r="A1132" s="10" t="str">
        <f>HYPERLINK(SUBSTITUTE(T(hl_0),"{0}","331331220725686"),hn_0)</f>
        <v>ОВ</v>
      </c>
      <c r="B1132" s="9">
        <v>10000</v>
      </c>
      <c r="C1132" s="11" t="s">
        <v>754</v>
      </c>
      <c r="D1132" s="15" t="s">
        <v>763</v>
      </c>
      <c r="E1132" s="11" t="s">
        <v>38</v>
      </c>
      <c r="F1132" s="11" t="s">
        <v>1599</v>
      </c>
    </row>
    <row r="1133" spans="1:6" ht="12.75">
      <c r="A1133" s="10" t="str">
        <f>HYPERLINK(SUBSTITUTE(T(hl_0),"{0}","331331220579524"),hn_0)</f>
        <v>ОВ</v>
      </c>
      <c r="B1133" s="9">
        <v>10000</v>
      </c>
      <c r="C1133" s="11" t="s">
        <v>754</v>
      </c>
      <c r="D1133" s="15" t="s">
        <v>764</v>
      </c>
      <c r="E1133" s="11" t="s">
        <v>38</v>
      </c>
      <c r="F1133" s="11" t="s">
        <v>1599</v>
      </c>
    </row>
    <row r="1134" spans="1:6" ht="38.25">
      <c r="A1134" s="10" t="str">
        <f>HYPERLINK(SUBSTITUTE(T(hl_0),"{0}","331328965531096"),hn_0)</f>
        <v>ОВ</v>
      </c>
      <c r="B1134" s="9">
        <v>5500</v>
      </c>
      <c r="C1134" s="11" t="s">
        <v>754</v>
      </c>
      <c r="D1134" s="15" t="s">
        <v>1396</v>
      </c>
      <c r="E1134" s="11" t="s">
        <v>38</v>
      </c>
      <c r="F1134" s="11" t="s">
        <v>1599</v>
      </c>
    </row>
    <row r="1135" spans="1:6" ht="25.5">
      <c r="A1135" s="10" t="str">
        <f>HYPERLINK(SUBSTITUTE(T(hl_0),"{0}","333331845729303"),hn_0)</f>
        <v>ОВ</v>
      </c>
      <c r="B1135" s="9">
        <v>6500</v>
      </c>
      <c r="C1135" s="11" t="s">
        <v>754</v>
      </c>
      <c r="D1135" s="15" t="s">
        <v>765</v>
      </c>
      <c r="E1135" s="11" t="s">
        <v>766</v>
      </c>
      <c r="F1135" s="11" t="s">
        <v>1599</v>
      </c>
    </row>
    <row r="1136" spans="1:6" ht="25.5">
      <c r="A1136" s="10" t="str">
        <f>HYPERLINK(SUBSTITUTE(T(hl_0),"{0}","334330113635407"),hn_0)</f>
        <v>ОВ</v>
      </c>
      <c r="B1136" s="9">
        <v>6000</v>
      </c>
      <c r="C1136" s="11" t="s">
        <v>754</v>
      </c>
      <c r="D1136" s="15" t="s">
        <v>1397</v>
      </c>
      <c r="E1136" s="11" t="s">
        <v>767</v>
      </c>
      <c r="F1136" s="11" t="s">
        <v>1599</v>
      </c>
    </row>
    <row r="1137" spans="1:6" ht="25.5">
      <c r="A1137" s="10" t="str">
        <f>HYPERLINK(SUBSTITUTE(T(hl_0),"{0}","334331313917429"),hn_0)</f>
        <v>ОВ</v>
      </c>
      <c r="B1137" s="9">
        <v>7000</v>
      </c>
      <c r="C1137" s="11" t="s">
        <v>754</v>
      </c>
      <c r="D1137" s="15" t="s">
        <v>1398</v>
      </c>
      <c r="E1137" s="11" t="s">
        <v>261</v>
      </c>
      <c r="F1137" s="11" t="s">
        <v>1599</v>
      </c>
    </row>
    <row r="1138" spans="1:6" ht="25.5">
      <c r="A1138" s="10" t="str">
        <f>HYPERLINK(SUBSTITUTE(T(hl_0),"{0}","334331313921986"),hn_0)</f>
        <v>ОВ</v>
      </c>
      <c r="B1138" s="9">
        <v>7000</v>
      </c>
      <c r="C1138" s="11" t="s">
        <v>754</v>
      </c>
      <c r="D1138" s="15" t="s">
        <v>1398</v>
      </c>
      <c r="E1138" s="11" t="s">
        <v>261</v>
      </c>
      <c r="F1138" s="11" t="s">
        <v>1599</v>
      </c>
    </row>
    <row r="1139" spans="1:6" ht="25.5">
      <c r="A1139" s="10" t="str">
        <f>HYPERLINK(SUBSTITUTE(T(hl_0),"{0}","334330113676861"),hn_0)</f>
        <v>ОВ</v>
      </c>
      <c r="B1139" s="9">
        <v>6000</v>
      </c>
      <c r="C1139" s="11" t="s">
        <v>754</v>
      </c>
      <c r="D1139" s="15" t="s">
        <v>1397</v>
      </c>
      <c r="E1139" s="11" t="s">
        <v>767</v>
      </c>
      <c r="F1139" s="11" t="s">
        <v>1599</v>
      </c>
    </row>
    <row r="1140" spans="1:6" ht="25.5">
      <c r="A1140" s="10" t="str">
        <f>HYPERLINK(SUBSTITUTE(T(hl_0),"{0}","900331557932500"),hn_0)</f>
        <v>ОВ</v>
      </c>
      <c r="B1140" s="9">
        <v>30000</v>
      </c>
      <c r="C1140" s="11" t="s">
        <v>754</v>
      </c>
      <c r="D1140" s="15" t="s">
        <v>768</v>
      </c>
      <c r="E1140" s="11" t="s">
        <v>16</v>
      </c>
      <c r="F1140" s="12" t="s">
        <v>1599</v>
      </c>
    </row>
    <row r="1141" spans="1:6" ht="25.5">
      <c r="A1141" s="10" t="str">
        <f>HYPERLINK(SUBSTITUTE(T(hl_0),"{0}","900331365771304"),hn_0)</f>
        <v>ОВ</v>
      </c>
      <c r="B1141" s="9">
        <v>5100</v>
      </c>
      <c r="C1141" s="11" t="s">
        <v>754</v>
      </c>
      <c r="D1141" s="15" t="s">
        <v>769</v>
      </c>
      <c r="E1141" s="11" t="s">
        <v>16</v>
      </c>
      <c r="F1141" s="12" t="s">
        <v>1599</v>
      </c>
    </row>
    <row r="1142" spans="1:6" ht="12.75">
      <c r="A1142" s="10" t="str">
        <f>HYPERLINK(SUBSTITUTE(T(hl_0),"{0}","900332194836881"),hn_0)</f>
        <v>ОВ</v>
      </c>
      <c r="B1142" s="9">
        <v>10000</v>
      </c>
      <c r="C1142" s="11" t="s">
        <v>754</v>
      </c>
      <c r="D1142" s="15" t="s">
        <v>770</v>
      </c>
      <c r="E1142" s="11" t="s">
        <v>16</v>
      </c>
      <c r="F1142" s="12" t="s">
        <v>1599</v>
      </c>
    </row>
    <row r="1143" spans="1:6" ht="12.75">
      <c r="A1143" s="10" t="str">
        <f>HYPERLINK(SUBSTITUTE(T(hl_0),"{0}","900332081679203"),hn_0)</f>
        <v>ОВ</v>
      </c>
      <c r="B1143" s="9">
        <v>4800</v>
      </c>
      <c r="C1143" s="11" t="s">
        <v>754</v>
      </c>
      <c r="D1143" s="15" t="s">
        <v>771</v>
      </c>
      <c r="E1143" s="11" t="s">
        <v>16</v>
      </c>
      <c r="F1143" s="12" t="s">
        <v>1599</v>
      </c>
    </row>
    <row r="1144" spans="1:6" ht="12.75">
      <c r="A1144" s="10" t="str">
        <f>HYPERLINK(SUBSTITUTE(T(hl_0),"{0}","900332248195334"),hn_0)</f>
        <v>ОВ</v>
      </c>
      <c r="B1144" s="9">
        <v>6000</v>
      </c>
      <c r="C1144" s="11" t="s">
        <v>754</v>
      </c>
      <c r="D1144" s="15" t="s">
        <v>772</v>
      </c>
      <c r="E1144" s="11" t="s">
        <v>16</v>
      </c>
      <c r="F1144" s="12" t="s">
        <v>1599</v>
      </c>
    </row>
    <row r="1145" spans="1:6" ht="12.75">
      <c r="A1145" s="10" t="str">
        <f>HYPERLINK(SUBSTITUTE(T(hl_0),"{0}","900331699029223"),hn_0)</f>
        <v>ОВ</v>
      </c>
      <c r="B1145" s="9">
        <v>8000</v>
      </c>
      <c r="C1145" s="11" t="s">
        <v>754</v>
      </c>
      <c r="D1145" s="15" t="s">
        <v>773</v>
      </c>
      <c r="E1145" s="11" t="s">
        <v>16</v>
      </c>
      <c r="F1145" s="12" t="s">
        <v>1599</v>
      </c>
    </row>
    <row r="1146" spans="1:6" ht="12.75">
      <c r="A1146" s="10" t="str">
        <f>HYPERLINK(SUBSTITUTE(T(hl_0),"{0}","900326861135080"),hn_0)</f>
        <v>ОВ</v>
      </c>
      <c r="B1146" s="9">
        <v>7000</v>
      </c>
      <c r="C1146" s="11" t="s">
        <v>754</v>
      </c>
      <c r="D1146" s="15" t="s">
        <v>774</v>
      </c>
      <c r="E1146" s="11" t="s">
        <v>16</v>
      </c>
      <c r="F1146" s="12" t="s">
        <v>1599</v>
      </c>
    </row>
    <row r="1147" spans="1:6" ht="25.5">
      <c r="A1147" s="10" t="str">
        <f>HYPERLINK(SUBSTITUTE(T(hl_0),"{0}","900327291146513"),hn_0)</f>
        <v>ОВ</v>
      </c>
      <c r="B1147" s="9">
        <v>10000</v>
      </c>
      <c r="C1147" s="11" t="s">
        <v>754</v>
      </c>
      <c r="D1147" s="15" t="s">
        <v>775</v>
      </c>
      <c r="E1147" s="11" t="s">
        <v>16</v>
      </c>
      <c r="F1147" s="12" t="s">
        <v>1599</v>
      </c>
    </row>
    <row r="1148" spans="1:6" ht="25.5">
      <c r="A1148" s="10" t="str">
        <f>HYPERLINK(SUBSTITUTE(T(hl_0),"{0}","900327291169202"),hn_0)</f>
        <v>ОВ</v>
      </c>
      <c r="B1148" s="9">
        <v>10000</v>
      </c>
      <c r="C1148" s="11" t="s">
        <v>754</v>
      </c>
      <c r="D1148" s="15" t="s">
        <v>775</v>
      </c>
      <c r="E1148" s="11" t="s">
        <v>16</v>
      </c>
      <c r="F1148" s="12" t="s">
        <v>1599</v>
      </c>
    </row>
    <row r="1149" spans="1:6" ht="25.5">
      <c r="A1149" s="10" t="str">
        <f>HYPERLINK(SUBSTITUTE(T(hl_0),"{0}","900327207010975"),hn_0)</f>
        <v>ОВ</v>
      </c>
      <c r="B1149" s="9">
        <v>4800</v>
      </c>
      <c r="C1149" s="11" t="s">
        <v>754</v>
      </c>
      <c r="D1149" s="15" t="s">
        <v>776</v>
      </c>
      <c r="E1149" s="11" t="s">
        <v>16</v>
      </c>
      <c r="F1149" s="12" t="s">
        <v>1599</v>
      </c>
    </row>
    <row r="1150" spans="1:6" ht="12.75">
      <c r="A1150" s="10" t="str">
        <f>HYPERLINK(SUBSTITUTE(T(hl_0),"{0}","900328611922042"),hn_0)</f>
        <v>ОВ</v>
      </c>
      <c r="B1150" s="9">
        <v>6900</v>
      </c>
      <c r="C1150" s="11" t="s">
        <v>754</v>
      </c>
      <c r="D1150" s="15" t="s">
        <v>777</v>
      </c>
      <c r="E1150" s="11" t="s">
        <v>16</v>
      </c>
      <c r="F1150" s="12" t="s">
        <v>1599</v>
      </c>
    </row>
    <row r="1151" spans="1:6" ht="25.5">
      <c r="A1151" s="10" t="str">
        <f>HYPERLINK(SUBSTITUTE(T(hl_0),"{0}","900327510449052"),hn_0)</f>
        <v>ОВ</v>
      </c>
      <c r="B1151" s="9">
        <v>4850</v>
      </c>
      <c r="C1151" s="11" t="s">
        <v>754</v>
      </c>
      <c r="D1151" s="15" t="s">
        <v>778</v>
      </c>
      <c r="E1151" s="11" t="s">
        <v>16</v>
      </c>
      <c r="F1151" s="12" t="s">
        <v>1599</v>
      </c>
    </row>
    <row r="1152" spans="1:6" ht="12.75">
      <c r="A1152" s="10" t="str">
        <f>HYPERLINK(SUBSTITUTE(T(hl_0),"{0}","900327535987148"),hn_0)</f>
        <v>ОВ</v>
      </c>
      <c r="B1152" s="9">
        <v>6000</v>
      </c>
      <c r="C1152" s="11" t="s">
        <v>754</v>
      </c>
      <c r="D1152" s="15" t="s">
        <v>774</v>
      </c>
      <c r="E1152" s="11" t="s">
        <v>16</v>
      </c>
      <c r="F1152" s="12" t="s">
        <v>1599</v>
      </c>
    </row>
    <row r="1153" spans="1:6" ht="25.5">
      <c r="A1153" s="10" t="str">
        <f>HYPERLINK(SUBSTITUTE(T(hl_0),"{0}","320331535886642"),hn_0)</f>
        <v>ОВ</v>
      </c>
      <c r="B1153" s="9">
        <v>9000</v>
      </c>
      <c r="C1153" s="11" t="s">
        <v>779</v>
      </c>
      <c r="D1153" s="15" t="s">
        <v>780</v>
      </c>
      <c r="E1153" s="11" t="s">
        <v>781</v>
      </c>
      <c r="F1153" s="12" t="s">
        <v>1599</v>
      </c>
    </row>
    <row r="1154" spans="1:6" ht="38.25">
      <c r="A1154" s="10" t="str">
        <f>HYPERLINK(SUBSTITUTE(T(hl_0),"{0}","320331561232961"),hn_0)</f>
        <v>ОВ</v>
      </c>
      <c r="B1154" s="9">
        <v>9000</v>
      </c>
      <c r="C1154" s="11" t="s">
        <v>779</v>
      </c>
      <c r="D1154" s="15" t="s">
        <v>1399</v>
      </c>
      <c r="E1154" s="11" t="s">
        <v>23</v>
      </c>
      <c r="F1154" s="12" t="s">
        <v>1599</v>
      </c>
    </row>
    <row r="1155" spans="1:6" ht="38.25">
      <c r="A1155" s="10" t="str">
        <f>HYPERLINK(SUBSTITUTE(T(hl_0),"{0}","322331700173904"),hn_0)</f>
        <v>ОВ</v>
      </c>
      <c r="B1155" s="9">
        <v>10000</v>
      </c>
      <c r="C1155" s="11" t="s">
        <v>779</v>
      </c>
      <c r="D1155" s="15" t="s">
        <v>782</v>
      </c>
      <c r="E1155" s="11" t="s">
        <v>783</v>
      </c>
      <c r="F1155" s="12" t="s">
        <v>1599</v>
      </c>
    </row>
    <row r="1156" spans="1:6" ht="51">
      <c r="A1156" s="10" t="str">
        <f>HYPERLINK(SUBSTITUTE(T(hl_0),"{0}","330326858746505"),hn_0)</f>
        <v>ОВ</v>
      </c>
      <c r="B1156" s="9">
        <v>2361</v>
      </c>
      <c r="C1156" s="11" t="s">
        <v>779</v>
      </c>
      <c r="D1156" s="15" t="s">
        <v>1400</v>
      </c>
      <c r="E1156" s="11" t="s">
        <v>29</v>
      </c>
      <c r="F1156" s="11" t="s">
        <v>1599</v>
      </c>
    </row>
    <row r="1157" spans="1:6" ht="25.5">
      <c r="A1157" s="10" t="str">
        <f>HYPERLINK(SUBSTITUTE(T(hl_0),"{0}","900330113756694"),hn_0)</f>
        <v>ОВ</v>
      </c>
      <c r="B1157" s="9">
        <v>4723</v>
      </c>
      <c r="C1157" s="11" t="s">
        <v>779</v>
      </c>
      <c r="D1157" s="15" t="s">
        <v>784</v>
      </c>
      <c r="E1157" s="11" t="s">
        <v>16</v>
      </c>
      <c r="F1157" s="12" t="s">
        <v>1599</v>
      </c>
    </row>
    <row r="1158" spans="1:6" ht="25.5">
      <c r="A1158" s="10" t="str">
        <f>HYPERLINK(SUBSTITUTE(T(hl_0),"{0}","319331648303602"),hn_0)</f>
        <v>ОВ</v>
      </c>
      <c r="B1158" s="9">
        <v>6000</v>
      </c>
      <c r="C1158" s="11" t="s">
        <v>785</v>
      </c>
      <c r="D1158" s="15" t="s">
        <v>1401</v>
      </c>
      <c r="E1158" s="11" t="s">
        <v>22</v>
      </c>
      <c r="F1158" s="11" t="s">
        <v>1599</v>
      </c>
    </row>
    <row r="1159" spans="1:6" ht="25.5">
      <c r="A1159" s="10" t="str">
        <f>HYPERLINK(SUBSTITUTE(T(hl_0),"{0}","319331648340938"),hn_0)</f>
        <v>ОВ</v>
      </c>
      <c r="B1159" s="9">
        <v>6000</v>
      </c>
      <c r="C1159" s="11" t="s">
        <v>785</v>
      </c>
      <c r="D1159" s="15" t="s">
        <v>1401</v>
      </c>
      <c r="E1159" s="11" t="s">
        <v>22</v>
      </c>
      <c r="F1159" s="11" t="s">
        <v>1599</v>
      </c>
    </row>
    <row r="1160" spans="1:6" ht="38.25">
      <c r="A1160" s="10" t="str">
        <f>HYPERLINK(SUBSTITUTE(T(hl_0),"{0}","900324867994986"),hn_0)</f>
        <v>ОВ</v>
      </c>
      <c r="B1160" s="9">
        <v>5678</v>
      </c>
      <c r="C1160" s="11" t="s">
        <v>786</v>
      </c>
      <c r="D1160" s="15" t="s">
        <v>787</v>
      </c>
      <c r="E1160" s="11" t="s">
        <v>16</v>
      </c>
      <c r="F1160" s="12" t="s">
        <v>1599</v>
      </c>
    </row>
    <row r="1161" spans="1:6" ht="51">
      <c r="A1161" s="10" t="str">
        <f>HYPERLINK(SUBSTITUTE(T(hl_0),"{0}","325331818399664"),hn_0)</f>
        <v>ОВ</v>
      </c>
      <c r="B1161" s="9">
        <v>5200</v>
      </c>
      <c r="C1161" s="11" t="s">
        <v>788</v>
      </c>
      <c r="D1161" s="15" t="s">
        <v>789</v>
      </c>
      <c r="E1161" s="11" t="s">
        <v>36</v>
      </c>
      <c r="F1161" s="12" t="s">
        <v>1599</v>
      </c>
    </row>
    <row r="1162" spans="1:6" ht="25.5">
      <c r="A1162" s="10" t="str">
        <f>HYPERLINK(SUBSTITUTE(T(hl_0),"{0}","900331648499516"),hn_0)</f>
        <v>ОВ</v>
      </c>
      <c r="B1162" s="9">
        <v>8000</v>
      </c>
      <c r="C1162" s="11" t="s">
        <v>790</v>
      </c>
      <c r="D1162" s="15" t="s">
        <v>791</v>
      </c>
      <c r="E1162" s="11" t="s">
        <v>16</v>
      </c>
      <c r="F1162" s="12" t="s">
        <v>1599</v>
      </c>
    </row>
    <row r="1163" spans="1:6" ht="38.25">
      <c r="A1163" s="10" t="str">
        <f>HYPERLINK(SUBSTITUTE(T(hl_0),"{0}","900331819332461"),hn_0)</f>
        <v>ОВ</v>
      </c>
      <c r="B1163" s="9">
        <v>7000</v>
      </c>
      <c r="C1163" s="11" t="s">
        <v>790</v>
      </c>
      <c r="D1163" s="15" t="s">
        <v>1402</v>
      </c>
      <c r="E1163" s="11" t="s">
        <v>16</v>
      </c>
      <c r="F1163" s="12" t="s">
        <v>1599</v>
      </c>
    </row>
    <row r="1164" spans="1:6" ht="38.25">
      <c r="A1164" s="10" t="str">
        <f>HYPERLINK(SUBSTITUTE(T(hl_0),"{0}","320332051295971"),hn_0)</f>
        <v>ОВ</v>
      </c>
      <c r="B1164" s="9">
        <v>4800</v>
      </c>
      <c r="C1164" s="11" t="s">
        <v>792</v>
      </c>
      <c r="D1164" s="15" t="s">
        <v>1403</v>
      </c>
      <c r="E1164" s="11" t="s">
        <v>23</v>
      </c>
      <c r="F1164" s="12" t="s">
        <v>1599</v>
      </c>
    </row>
    <row r="1165" spans="1:6" ht="51">
      <c r="A1165" s="10" t="str">
        <f>HYPERLINK(SUBSTITUTE(T(hl_0),"{0}","321331900033336"),hn_0)</f>
        <v>ОВ</v>
      </c>
      <c r="B1165" s="9">
        <v>10500</v>
      </c>
      <c r="C1165" s="11" t="s">
        <v>793</v>
      </c>
      <c r="D1165" s="15" t="s">
        <v>1404</v>
      </c>
      <c r="E1165" s="11" t="s">
        <v>20</v>
      </c>
      <c r="F1165" s="12" t="s">
        <v>1599</v>
      </c>
    </row>
    <row r="1166" spans="1:6" ht="12.75">
      <c r="A1166" s="10" t="str">
        <f>HYPERLINK(SUBSTITUTE(T(hl_0),"{0}","322331873819447"),hn_0)</f>
        <v>ОВ</v>
      </c>
      <c r="B1166" s="9">
        <v>5500</v>
      </c>
      <c r="C1166" s="11" t="s">
        <v>793</v>
      </c>
      <c r="D1166" s="15" t="s">
        <v>794</v>
      </c>
      <c r="E1166" s="11" t="s">
        <v>37</v>
      </c>
      <c r="F1166" s="12" t="s">
        <v>1599</v>
      </c>
    </row>
    <row r="1167" spans="1:6" ht="38.25">
      <c r="A1167" s="10" t="str">
        <f>HYPERLINK(SUBSTITUTE(T(hl_0),"{0}","323332025247308"),hn_0)</f>
        <v>ОВ</v>
      </c>
      <c r="B1167" s="9">
        <v>10500</v>
      </c>
      <c r="C1167" s="11" t="s">
        <v>793</v>
      </c>
      <c r="D1167" s="15" t="s">
        <v>1405</v>
      </c>
      <c r="E1167" s="11" t="s">
        <v>24</v>
      </c>
      <c r="F1167" s="11" t="s">
        <v>1599</v>
      </c>
    </row>
    <row r="1168" spans="1:6" ht="12.75">
      <c r="A1168" s="10" t="str">
        <f>HYPERLINK(SUBSTITUTE(T(hl_0),"{0}","325329502186071"),hn_0)</f>
        <v>ОВ</v>
      </c>
      <c r="B1168" s="9">
        <v>11619</v>
      </c>
      <c r="C1168" s="11" t="s">
        <v>793</v>
      </c>
      <c r="D1168" s="15" t="s">
        <v>1406</v>
      </c>
      <c r="E1168" s="11" t="s">
        <v>795</v>
      </c>
      <c r="F1168" s="12" t="s">
        <v>1599</v>
      </c>
    </row>
    <row r="1169" spans="1:6" ht="38.25">
      <c r="A1169" s="10" t="str">
        <f>HYPERLINK(SUBSTITUTE(T(hl_0),"{0}","334330947148067"),hn_0)</f>
        <v>ОВ</v>
      </c>
      <c r="B1169" s="9">
        <v>8000</v>
      </c>
      <c r="C1169" s="11" t="s">
        <v>793</v>
      </c>
      <c r="D1169" s="15" t="s">
        <v>1407</v>
      </c>
      <c r="E1169" s="11" t="s">
        <v>261</v>
      </c>
      <c r="F1169" s="11" t="s">
        <v>1599</v>
      </c>
    </row>
    <row r="1170" spans="1:6" ht="25.5">
      <c r="A1170" s="10" t="str">
        <f>HYPERLINK(SUBSTITUTE(T(hl_0),"{0}","319331971003549"),hn_0)</f>
        <v>ОВ</v>
      </c>
      <c r="B1170" s="9">
        <v>6000</v>
      </c>
      <c r="C1170" s="11" t="s">
        <v>796</v>
      </c>
      <c r="D1170" s="15" t="s">
        <v>1408</v>
      </c>
      <c r="E1170" s="11" t="s">
        <v>22</v>
      </c>
      <c r="F1170" s="11" t="s">
        <v>1599</v>
      </c>
    </row>
    <row r="1171" spans="1:6" ht="25.5">
      <c r="A1171" s="10" t="str">
        <f>HYPERLINK(SUBSTITUTE(T(hl_0),"{0}","321327599547472"),hn_0)</f>
        <v>ОВ</v>
      </c>
      <c r="B1171" s="9">
        <v>6000</v>
      </c>
      <c r="C1171" s="11" t="s">
        <v>796</v>
      </c>
      <c r="D1171" s="15" t="s">
        <v>1409</v>
      </c>
      <c r="E1171" s="11" t="s">
        <v>797</v>
      </c>
      <c r="F1171" s="12" t="s">
        <v>1599</v>
      </c>
    </row>
    <row r="1172" spans="1:6" ht="12.75">
      <c r="A1172" s="10" t="str">
        <f>HYPERLINK(SUBSTITUTE(T(hl_0),"{0}","900331508723519"),hn_0)</f>
        <v>ОВ</v>
      </c>
      <c r="B1172" s="9">
        <v>6000</v>
      </c>
      <c r="C1172" s="11" t="s">
        <v>796</v>
      </c>
      <c r="D1172" s="15" t="s">
        <v>798</v>
      </c>
      <c r="E1172" s="11" t="s">
        <v>16</v>
      </c>
      <c r="F1172" s="12" t="s">
        <v>1599</v>
      </c>
    </row>
    <row r="1173" spans="1:6" ht="25.5">
      <c r="A1173" s="10" t="str">
        <f>HYPERLINK(SUBSTITUTE(T(hl_0),"{0}","319329779706533"),hn_0)</f>
        <v>ОВ</v>
      </c>
      <c r="B1173" s="9">
        <v>7000</v>
      </c>
      <c r="C1173" s="11" t="s">
        <v>799</v>
      </c>
      <c r="D1173" s="15" t="s">
        <v>800</v>
      </c>
      <c r="E1173" s="11" t="s">
        <v>22</v>
      </c>
      <c r="F1173" s="11" t="s">
        <v>1599</v>
      </c>
    </row>
    <row r="1174" spans="1:6" ht="51">
      <c r="A1174" s="10" t="str">
        <f>HYPERLINK(SUBSTITUTE(T(hl_0),"{0}","332327338402871"),hn_0)</f>
        <v>ОВ</v>
      </c>
      <c r="B1174" s="9">
        <v>6200</v>
      </c>
      <c r="C1174" s="11" t="s">
        <v>799</v>
      </c>
      <c r="D1174" s="15" t="s">
        <v>1410</v>
      </c>
      <c r="E1174" s="11" t="s">
        <v>14</v>
      </c>
      <c r="F1174" s="11" t="s">
        <v>1599</v>
      </c>
    </row>
    <row r="1175" spans="1:6" ht="38.25">
      <c r="A1175" s="10" t="str">
        <f>HYPERLINK(SUBSTITUTE(T(hl_0),"{0}","320332051831302"),hn_0)</f>
        <v>ОВ</v>
      </c>
      <c r="B1175" s="9">
        <v>4800</v>
      </c>
      <c r="C1175" s="11" t="s">
        <v>801</v>
      </c>
      <c r="D1175" s="15" t="s">
        <v>1411</v>
      </c>
      <c r="E1175" s="11" t="s">
        <v>99</v>
      </c>
      <c r="F1175" s="12" t="s">
        <v>1599</v>
      </c>
    </row>
    <row r="1176" spans="1:6" ht="12.75">
      <c r="A1176" s="10" t="str">
        <f>HYPERLINK(SUBSTITUTE(T(hl_0),"{0}","900332144243906"),hn_0)</f>
        <v>ОВ</v>
      </c>
      <c r="B1176" s="9">
        <v>8000</v>
      </c>
      <c r="C1176" s="11" t="s">
        <v>801</v>
      </c>
      <c r="D1176" s="15" t="s">
        <v>802</v>
      </c>
      <c r="E1176" s="11" t="s">
        <v>16</v>
      </c>
      <c r="F1176" s="12" t="s">
        <v>1599</v>
      </c>
    </row>
    <row r="1177" spans="1:6" ht="12.75">
      <c r="A1177" s="10" t="str">
        <f>HYPERLINK(SUBSTITUTE(T(hl_0),"{0}","900324867906493"),hn_0)</f>
        <v>ОВ</v>
      </c>
      <c r="B1177" s="9">
        <v>10000</v>
      </c>
      <c r="C1177" s="11" t="s">
        <v>801</v>
      </c>
      <c r="D1177" s="15" t="s">
        <v>803</v>
      </c>
      <c r="E1177" s="11" t="s">
        <v>16</v>
      </c>
      <c r="F1177" s="12" t="s">
        <v>1599</v>
      </c>
    </row>
    <row r="1178" spans="1:6" ht="25.5">
      <c r="A1178" s="10" t="str">
        <f>HYPERLINK(SUBSTITUTE(T(hl_0),"{0}","900327746271239"),hn_0)</f>
        <v>ОВ</v>
      </c>
      <c r="B1178" s="9">
        <v>8000</v>
      </c>
      <c r="C1178" s="11" t="s">
        <v>801</v>
      </c>
      <c r="D1178" s="15" t="s">
        <v>804</v>
      </c>
      <c r="E1178" s="11" t="s">
        <v>16</v>
      </c>
      <c r="F1178" s="12" t="s">
        <v>1599</v>
      </c>
    </row>
    <row r="1179" spans="1:6" ht="25.5">
      <c r="A1179" s="10" t="str">
        <f>HYPERLINK(SUBSTITUTE(T(hl_0),"{0}","320331726985321"),hn_0)</f>
        <v>ОВ</v>
      </c>
      <c r="B1179" s="9">
        <v>4750</v>
      </c>
      <c r="C1179" s="11" t="s">
        <v>805</v>
      </c>
      <c r="D1179" s="15" t="s">
        <v>1412</v>
      </c>
      <c r="E1179" s="11" t="s">
        <v>23</v>
      </c>
      <c r="F1179" s="12" t="s">
        <v>1599</v>
      </c>
    </row>
    <row r="1180" spans="1:6" ht="12.75">
      <c r="A1180" s="10" t="str">
        <f>HYPERLINK(SUBSTITUTE(T(hl_0),"{0}","900331138142168"),hn_0)</f>
        <v>ОВ</v>
      </c>
      <c r="B1180" s="9">
        <v>5000</v>
      </c>
      <c r="C1180" s="11" t="s">
        <v>805</v>
      </c>
      <c r="D1180" s="15" t="s">
        <v>806</v>
      </c>
      <c r="E1180" s="11" t="s">
        <v>16</v>
      </c>
      <c r="F1180" s="12" t="s">
        <v>1599</v>
      </c>
    </row>
    <row r="1181" spans="1:6" ht="12.75">
      <c r="A1181" s="10" t="str">
        <f>HYPERLINK(SUBSTITUTE(T(hl_0),"{0}","900331794918524"),hn_0)</f>
        <v>ОВ</v>
      </c>
      <c r="B1181" s="9">
        <v>5951</v>
      </c>
      <c r="C1181" s="11" t="s">
        <v>805</v>
      </c>
      <c r="D1181" s="15" t="s">
        <v>807</v>
      </c>
      <c r="E1181" s="11" t="s">
        <v>24</v>
      </c>
      <c r="F1181" s="12" t="s">
        <v>1599</v>
      </c>
    </row>
    <row r="1182" spans="1:6" ht="12.75">
      <c r="A1182" s="10" t="str">
        <f>HYPERLINK(SUBSTITUTE(T(hl_0),"{0}","900331794906679"),hn_0)</f>
        <v>ОВ</v>
      </c>
      <c r="B1182" s="9">
        <v>5951</v>
      </c>
      <c r="C1182" s="11" t="s">
        <v>805</v>
      </c>
      <c r="D1182" s="15" t="s">
        <v>808</v>
      </c>
      <c r="E1182" s="11" t="s">
        <v>37</v>
      </c>
      <c r="F1182" s="12" t="s">
        <v>1599</v>
      </c>
    </row>
    <row r="1183" spans="1:6" ht="12.75">
      <c r="A1183" s="10" t="str">
        <f>HYPERLINK(SUBSTITUTE(T(hl_0),"{0}","900327859692925"),hn_0)</f>
        <v>ОВ</v>
      </c>
      <c r="B1183" s="9">
        <v>5951</v>
      </c>
      <c r="C1183" s="11" t="s">
        <v>805</v>
      </c>
      <c r="D1183" s="15" t="s">
        <v>809</v>
      </c>
      <c r="E1183" s="11" t="s">
        <v>16</v>
      </c>
      <c r="F1183" s="12" t="s">
        <v>1599</v>
      </c>
    </row>
    <row r="1184" spans="1:6" ht="25.5">
      <c r="A1184" s="10" t="str">
        <f>HYPERLINK(SUBSTITUTE(T(hl_0),"{0}","328332147780736"),hn_0)</f>
        <v>ОВ</v>
      </c>
      <c r="B1184" s="9">
        <v>5917</v>
      </c>
      <c r="C1184" s="11" t="s">
        <v>810</v>
      </c>
      <c r="D1184" s="15" t="s">
        <v>811</v>
      </c>
      <c r="E1184" s="11" t="s">
        <v>61</v>
      </c>
      <c r="F1184" s="11" t="s">
        <v>1599</v>
      </c>
    </row>
    <row r="1185" spans="1:6" ht="12.75">
      <c r="A1185" s="10" t="str">
        <f>HYPERLINK(SUBSTITUTE(T(hl_0),"{0}","320328477278969"),hn_0)</f>
        <v>ОВ</v>
      </c>
      <c r="B1185" s="9">
        <v>4723</v>
      </c>
      <c r="C1185" s="11" t="s">
        <v>812</v>
      </c>
      <c r="D1185" s="15" t="s">
        <v>1413</v>
      </c>
      <c r="E1185" s="11" t="s">
        <v>23</v>
      </c>
      <c r="F1185" s="12" t="s">
        <v>1599</v>
      </c>
    </row>
    <row r="1186" spans="1:6" ht="25.5">
      <c r="A1186" s="10" t="str">
        <f>HYPERLINK(SUBSTITUTE(T(hl_0),"{0}","900332146273060"),hn_0)</f>
        <v>ОВ</v>
      </c>
      <c r="B1186" s="9">
        <v>6127</v>
      </c>
      <c r="C1186" s="11" t="s">
        <v>813</v>
      </c>
      <c r="D1186" s="15" t="s">
        <v>814</v>
      </c>
      <c r="E1186" s="11" t="s">
        <v>38</v>
      </c>
      <c r="F1186" s="12" t="s">
        <v>1599</v>
      </c>
    </row>
    <row r="1187" spans="1:6" ht="25.5">
      <c r="A1187" s="10" t="str">
        <f>HYPERLINK(SUBSTITUTE(T(hl_0),"{0}","900332146262083"),hn_0)</f>
        <v>ОВ</v>
      </c>
      <c r="B1187" s="9">
        <v>6607</v>
      </c>
      <c r="C1187" s="11" t="s">
        <v>813</v>
      </c>
      <c r="D1187" s="15" t="s">
        <v>814</v>
      </c>
      <c r="E1187" s="11" t="s">
        <v>16</v>
      </c>
      <c r="F1187" s="12" t="s">
        <v>1599</v>
      </c>
    </row>
    <row r="1188" spans="1:6" ht="25.5">
      <c r="A1188" s="10" t="str">
        <f>HYPERLINK(SUBSTITUTE(T(hl_0),"{0}","321330190135108"),hn_0)</f>
        <v>ОВ</v>
      </c>
      <c r="B1188" s="9">
        <v>7000</v>
      </c>
      <c r="C1188" s="11" t="s">
        <v>815</v>
      </c>
      <c r="D1188" s="15" t="s">
        <v>1414</v>
      </c>
      <c r="E1188" s="11" t="s">
        <v>409</v>
      </c>
      <c r="F1188" s="12" t="s">
        <v>1599</v>
      </c>
    </row>
    <row r="1189" spans="1:6" ht="25.5">
      <c r="A1189" s="10" t="str">
        <f>HYPERLINK(SUBSTITUTE(T(hl_0),"{0}","900331675772589"),hn_0)</f>
        <v>ОВ</v>
      </c>
      <c r="B1189" s="9">
        <v>4723</v>
      </c>
      <c r="C1189" s="11" t="s">
        <v>815</v>
      </c>
      <c r="D1189" s="15" t="s">
        <v>816</v>
      </c>
      <c r="E1189" s="11" t="s">
        <v>16</v>
      </c>
      <c r="F1189" s="12" t="s">
        <v>1599</v>
      </c>
    </row>
    <row r="1190" spans="1:6" ht="25.5">
      <c r="A1190" s="10" t="str">
        <f>HYPERLINK(SUBSTITUTE(T(hl_0),"{0}","320331560306132"),hn_0)</f>
        <v>ОВ</v>
      </c>
      <c r="B1190" s="9">
        <v>8000</v>
      </c>
      <c r="C1190" s="11" t="s">
        <v>817</v>
      </c>
      <c r="D1190" s="15" t="s">
        <v>1415</v>
      </c>
      <c r="E1190" s="11" t="s">
        <v>23</v>
      </c>
      <c r="F1190" s="12" t="s">
        <v>1599</v>
      </c>
    </row>
    <row r="1191" spans="1:6" ht="38.25">
      <c r="A1191" s="10" t="str">
        <f>HYPERLINK(SUBSTITUTE(T(hl_0),"{0}","320327074749913"),hn_0)</f>
        <v>ОВ</v>
      </c>
      <c r="B1191" s="9">
        <v>8000</v>
      </c>
      <c r="C1191" s="11" t="s">
        <v>817</v>
      </c>
      <c r="D1191" s="15" t="s">
        <v>1416</v>
      </c>
      <c r="E1191" s="11" t="s">
        <v>781</v>
      </c>
      <c r="F1191" s="12" t="s">
        <v>1599</v>
      </c>
    </row>
    <row r="1192" spans="1:6" ht="25.5">
      <c r="A1192" s="10" t="str">
        <f>HYPERLINK(SUBSTITUTE(T(hl_0),"{0}","900331673720170"),hn_0)</f>
        <v>ОВ</v>
      </c>
      <c r="B1192" s="9">
        <v>14680</v>
      </c>
      <c r="C1192" s="11" t="s">
        <v>818</v>
      </c>
      <c r="D1192" s="15" t="s">
        <v>819</v>
      </c>
      <c r="E1192" s="11" t="s">
        <v>16</v>
      </c>
      <c r="F1192" s="12" t="s">
        <v>1599</v>
      </c>
    </row>
    <row r="1193" spans="1:6" ht="25.5">
      <c r="A1193" s="10" t="str">
        <f>HYPERLINK(SUBSTITUTE(T(hl_0),"{0}","319332247496677"),hn_0)</f>
        <v>ОВ</v>
      </c>
      <c r="B1193" s="9">
        <v>28000</v>
      </c>
      <c r="C1193" s="11" t="s">
        <v>820</v>
      </c>
      <c r="D1193" s="15" t="s">
        <v>1417</v>
      </c>
      <c r="E1193" s="11" t="s">
        <v>22</v>
      </c>
      <c r="F1193" s="11" t="s">
        <v>1599</v>
      </c>
    </row>
    <row r="1194" spans="1:6" ht="12.75">
      <c r="A1194" s="10" t="str">
        <f>HYPERLINK(SUBSTITUTE(T(hl_0),"{0}","319329969929919"),hn_0)</f>
        <v>ОВ</v>
      </c>
      <c r="B1194" s="9">
        <v>10090</v>
      </c>
      <c r="C1194" s="11" t="s">
        <v>820</v>
      </c>
      <c r="D1194" s="15" t="s">
        <v>1418</v>
      </c>
      <c r="E1194" s="11" t="s">
        <v>22</v>
      </c>
      <c r="F1194" s="11" t="s">
        <v>1599</v>
      </c>
    </row>
    <row r="1195" spans="1:6" ht="38.25">
      <c r="A1195" s="10" t="str">
        <f>HYPERLINK(SUBSTITUTE(T(hl_0),"{0}","321331901755395"),hn_0)</f>
        <v>ОВ</v>
      </c>
      <c r="B1195" s="9">
        <v>5000</v>
      </c>
      <c r="C1195" s="11" t="s">
        <v>820</v>
      </c>
      <c r="D1195" s="15" t="s">
        <v>1419</v>
      </c>
      <c r="E1195" s="11" t="s">
        <v>20</v>
      </c>
      <c r="F1195" s="12" t="s">
        <v>1599</v>
      </c>
    </row>
    <row r="1196" spans="1:6" ht="25.5">
      <c r="A1196" s="10" t="str">
        <f>HYPERLINK(SUBSTITUTE(T(hl_0),"{0}","321327315197362"),hn_0)</f>
        <v>ОВ</v>
      </c>
      <c r="B1196" s="9">
        <v>10000</v>
      </c>
      <c r="C1196" s="11" t="s">
        <v>820</v>
      </c>
      <c r="D1196" s="15" t="s">
        <v>1420</v>
      </c>
      <c r="E1196" s="11" t="s">
        <v>20</v>
      </c>
      <c r="F1196" s="12" t="s">
        <v>1599</v>
      </c>
    </row>
    <row r="1197" spans="1:6" ht="25.5">
      <c r="A1197" s="10" t="str">
        <f>HYPERLINK(SUBSTITUTE(T(hl_0),"{0}","321327619513865"),hn_0)</f>
        <v>ОВ</v>
      </c>
      <c r="B1197" s="9">
        <v>15491</v>
      </c>
      <c r="C1197" s="11" t="s">
        <v>820</v>
      </c>
      <c r="D1197" s="15" t="s">
        <v>1421</v>
      </c>
      <c r="E1197" s="11" t="s">
        <v>20</v>
      </c>
      <c r="F1197" s="12" t="s">
        <v>1599</v>
      </c>
    </row>
    <row r="1198" spans="1:6" ht="25.5">
      <c r="A1198" s="10" t="str">
        <f>HYPERLINK(SUBSTITUTE(T(hl_0),"{0}","321327644876522"),hn_0)</f>
        <v>ОВ</v>
      </c>
      <c r="B1198" s="9">
        <v>10000</v>
      </c>
      <c r="C1198" s="11" t="s">
        <v>820</v>
      </c>
      <c r="D1198" s="15" t="s">
        <v>1422</v>
      </c>
      <c r="E1198" s="11" t="s">
        <v>20</v>
      </c>
      <c r="F1198" s="12" t="s">
        <v>1599</v>
      </c>
    </row>
    <row r="1199" spans="1:6" ht="25.5">
      <c r="A1199" s="10" t="str">
        <f>HYPERLINK(SUBSTITUTE(T(hl_0),"{0}","324332000237622"),hn_0)</f>
        <v>ОВ</v>
      </c>
      <c r="B1199" s="9">
        <v>6500</v>
      </c>
      <c r="C1199" s="11" t="s">
        <v>820</v>
      </c>
      <c r="D1199" s="15" t="s">
        <v>821</v>
      </c>
      <c r="E1199" s="11" t="s">
        <v>332</v>
      </c>
      <c r="F1199" s="11" t="s">
        <v>1599</v>
      </c>
    </row>
    <row r="1200" spans="1:6" ht="25.5">
      <c r="A1200" s="10" t="str">
        <f>HYPERLINK(SUBSTITUTE(T(hl_0),"{0}","325329502075385"),hn_0)</f>
        <v>ОВ</v>
      </c>
      <c r="B1200" s="9">
        <v>13508</v>
      </c>
      <c r="C1200" s="11" t="s">
        <v>820</v>
      </c>
      <c r="D1200" s="15" t="s">
        <v>1423</v>
      </c>
      <c r="E1200" s="11" t="s">
        <v>795</v>
      </c>
      <c r="F1200" s="12" t="s">
        <v>1599</v>
      </c>
    </row>
    <row r="1201" spans="1:6" ht="38.25">
      <c r="A1201" s="10" t="str">
        <f>HYPERLINK(SUBSTITUTE(T(hl_0),"{0}","330327025592610"),hn_0)</f>
        <v>ОВ</v>
      </c>
      <c r="B1201" s="9">
        <v>6200</v>
      </c>
      <c r="C1201" s="11" t="s">
        <v>820</v>
      </c>
      <c r="D1201" s="15" t="s">
        <v>822</v>
      </c>
      <c r="E1201" s="11" t="s">
        <v>823</v>
      </c>
      <c r="F1201" s="11" t="s">
        <v>1599</v>
      </c>
    </row>
    <row r="1202" spans="1:6" ht="51">
      <c r="A1202" s="10" t="str">
        <f>HYPERLINK(SUBSTITUTE(T(hl_0),"{0}","335331874694603"),hn_0)</f>
        <v>ОВ</v>
      </c>
      <c r="B1202" s="9">
        <v>7500</v>
      </c>
      <c r="C1202" s="11" t="s">
        <v>820</v>
      </c>
      <c r="D1202" s="15" t="s">
        <v>824</v>
      </c>
      <c r="E1202" s="11" t="s">
        <v>233</v>
      </c>
      <c r="F1202" s="11" t="s">
        <v>1599</v>
      </c>
    </row>
    <row r="1203" spans="1:6" ht="12.75">
      <c r="A1203" s="10" t="str">
        <f>HYPERLINK(SUBSTITUTE(T(hl_0),"{0}","900332023596984"),hn_0)</f>
        <v>ОВ</v>
      </c>
      <c r="B1203" s="9">
        <v>10000</v>
      </c>
      <c r="C1203" s="11" t="s">
        <v>820</v>
      </c>
      <c r="D1203" s="15" t="s">
        <v>825</v>
      </c>
      <c r="E1203" s="11" t="s">
        <v>16</v>
      </c>
      <c r="F1203" s="12" t="s">
        <v>1599</v>
      </c>
    </row>
    <row r="1204" spans="1:6" ht="25.5">
      <c r="A1204" s="10" t="str">
        <f>HYPERLINK(SUBSTITUTE(T(hl_0),"{0}","900329938857736"),hn_0)</f>
        <v>ОВ</v>
      </c>
      <c r="B1204" s="9">
        <v>8000</v>
      </c>
      <c r="C1204" s="11" t="s">
        <v>820</v>
      </c>
      <c r="D1204" s="15" t="s">
        <v>826</v>
      </c>
      <c r="E1204" s="11" t="s">
        <v>16</v>
      </c>
      <c r="F1204" s="12" t="s">
        <v>1599</v>
      </c>
    </row>
    <row r="1205" spans="1:6" ht="51">
      <c r="A1205" s="10" t="str">
        <f>HYPERLINK(SUBSTITUTE(T(hl_0),"{0}","900331846797568"),hn_0)</f>
        <v>ОВ</v>
      </c>
      <c r="B1205" s="9">
        <v>5450</v>
      </c>
      <c r="C1205" s="11" t="s">
        <v>827</v>
      </c>
      <c r="D1205" s="15" t="s">
        <v>828</v>
      </c>
      <c r="E1205" s="11" t="s">
        <v>16</v>
      </c>
      <c r="F1205" s="12" t="s">
        <v>1599</v>
      </c>
    </row>
    <row r="1206" spans="1:6" ht="38.25">
      <c r="A1206" s="10" t="str">
        <f>HYPERLINK(SUBSTITUTE(T(hl_0),"{0}","320331560139986"),hn_0)</f>
        <v>ОВ</v>
      </c>
      <c r="B1206" s="9">
        <v>9500</v>
      </c>
      <c r="C1206" s="11" t="s">
        <v>829</v>
      </c>
      <c r="D1206" s="15" t="s">
        <v>1424</v>
      </c>
      <c r="E1206" s="11" t="s">
        <v>23</v>
      </c>
      <c r="F1206" s="12" t="s">
        <v>1599</v>
      </c>
    </row>
    <row r="1207" spans="1:6" ht="38.25">
      <c r="A1207" s="10" t="str">
        <f>HYPERLINK(SUBSTITUTE(T(hl_0),"{0}","320331560268214"),hn_0)</f>
        <v>ОВ</v>
      </c>
      <c r="B1207" s="9">
        <v>9500</v>
      </c>
      <c r="C1207" s="11" t="s">
        <v>829</v>
      </c>
      <c r="D1207" s="15" t="s">
        <v>1424</v>
      </c>
      <c r="E1207" s="11" t="s">
        <v>23</v>
      </c>
      <c r="F1207" s="12" t="s">
        <v>1599</v>
      </c>
    </row>
    <row r="1208" spans="1:6" ht="38.25">
      <c r="A1208" s="10" t="str">
        <f>HYPERLINK(SUBSTITUTE(T(hl_0),"{0}","320331535672141"),hn_0)</f>
        <v>ОВ</v>
      </c>
      <c r="B1208" s="9">
        <v>9500</v>
      </c>
      <c r="C1208" s="11" t="s">
        <v>829</v>
      </c>
      <c r="D1208" s="15" t="s">
        <v>1425</v>
      </c>
      <c r="E1208" s="11" t="s">
        <v>781</v>
      </c>
      <c r="F1208" s="12" t="s">
        <v>1599</v>
      </c>
    </row>
    <row r="1209" spans="1:6" ht="25.5">
      <c r="A1209" s="10" t="str">
        <f>HYPERLINK(SUBSTITUTE(T(hl_0),"{0}","326329940020408"),hn_0)</f>
        <v>ОВ</v>
      </c>
      <c r="B1209" s="9">
        <v>6000</v>
      </c>
      <c r="C1209" s="11" t="s">
        <v>830</v>
      </c>
      <c r="D1209" s="15" t="s">
        <v>1426</v>
      </c>
      <c r="E1209" s="11" t="s">
        <v>622</v>
      </c>
      <c r="F1209" s="12" t="s">
        <v>1599</v>
      </c>
    </row>
    <row r="1210" spans="1:6" ht="12.75">
      <c r="A1210" s="10" t="str">
        <f>HYPERLINK(SUBSTITUTE(T(hl_0),"{0}","900327621032318"),hn_0)</f>
        <v>ОВ</v>
      </c>
      <c r="B1210" s="9">
        <v>7000</v>
      </c>
      <c r="C1210" s="11" t="s">
        <v>830</v>
      </c>
      <c r="D1210" s="15" t="s">
        <v>831</v>
      </c>
      <c r="E1210" s="11" t="s">
        <v>16</v>
      </c>
      <c r="F1210" s="12" t="s">
        <v>1599</v>
      </c>
    </row>
    <row r="1211" spans="1:6" ht="12.75">
      <c r="A1211" s="10" t="str">
        <f>HYPERLINK(SUBSTITUTE(T(hl_0),"{0}","319327465921226"),hn_0)</f>
        <v>ОВ</v>
      </c>
      <c r="B1211" s="9">
        <v>11000</v>
      </c>
      <c r="C1211" s="11" t="s">
        <v>832</v>
      </c>
      <c r="D1211" s="15" t="s">
        <v>1427</v>
      </c>
      <c r="E1211" s="11" t="s">
        <v>22</v>
      </c>
      <c r="F1211" s="11" t="s">
        <v>1599</v>
      </c>
    </row>
    <row r="1212" spans="1:6" ht="38.25">
      <c r="A1212" s="10" t="str">
        <f>HYPERLINK(SUBSTITUTE(T(hl_0),"{0}","327328423983021"),hn_0)</f>
        <v>ОВ</v>
      </c>
      <c r="B1212" s="9">
        <v>7000</v>
      </c>
      <c r="C1212" s="11" t="s">
        <v>832</v>
      </c>
      <c r="D1212" s="15" t="s">
        <v>833</v>
      </c>
      <c r="E1212" s="11" t="s">
        <v>42</v>
      </c>
      <c r="F1212" s="12" t="s">
        <v>1599</v>
      </c>
    </row>
    <row r="1213" spans="1:6" ht="25.5">
      <c r="A1213" s="10" t="str">
        <f>HYPERLINK(SUBSTITUTE(T(hl_0),"{0}","327330658159896"),hn_0)</f>
        <v>ОВ</v>
      </c>
      <c r="B1213" s="9">
        <v>7000</v>
      </c>
      <c r="C1213" s="11" t="s">
        <v>834</v>
      </c>
      <c r="D1213" s="15" t="s">
        <v>835</v>
      </c>
      <c r="E1213" s="11" t="s">
        <v>16</v>
      </c>
      <c r="F1213" s="12" t="s">
        <v>1599</v>
      </c>
    </row>
    <row r="1214" spans="1:6" ht="12.75">
      <c r="A1214" s="10" t="str">
        <f>HYPERLINK(SUBSTITUTE(T(hl_0),"{0}","319331508012560"),hn_0)</f>
        <v>ОВ</v>
      </c>
      <c r="B1214" s="9">
        <v>6350</v>
      </c>
      <c r="C1214" s="11" t="s">
        <v>836</v>
      </c>
      <c r="D1214" s="15" t="s">
        <v>1428</v>
      </c>
      <c r="E1214" s="11" t="s">
        <v>22</v>
      </c>
      <c r="F1214" s="11" t="s">
        <v>1599</v>
      </c>
    </row>
    <row r="1215" spans="1:6" ht="12.75">
      <c r="A1215" s="10" t="str">
        <f>HYPERLINK(SUBSTITUTE(T(hl_0),"{0}","319327465927688"),hn_0)</f>
        <v>ОВ</v>
      </c>
      <c r="B1215" s="9">
        <v>8000</v>
      </c>
      <c r="C1215" s="11" t="s">
        <v>836</v>
      </c>
      <c r="D1215" s="15" t="s">
        <v>1429</v>
      </c>
      <c r="E1215" s="11" t="s">
        <v>22</v>
      </c>
      <c r="F1215" s="11" t="s">
        <v>1599</v>
      </c>
    </row>
    <row r="1216" spans="1:6" ht="38.25">
      <c r="A1216" s="10" t="str">
        <f>HYPERLINK(SUBSTITUTE(T(hl_0),"{0}","325331676510476"),hn_0)</f>
        <v>ОВ</v>
      </c>
      <c r="B1216" s="9">
        <v>4905</v>
      </c>
      <c r="C1216" s="11" t="s">
        <v>836</v>
      </c>
      <c r="D1216" s="15" t="s">
        <v>1430</v>
      </c>
      <c r="E1216" s="11" t="s">
        <v>36</v>
      </c>
      <c r="F1216" s="12" t="s">
        <v>1599</v>
      </c>
    </row>
    <row r="1217" spans="1:6" ht="25.5">
      <c r="A1217" s="10" t="str">
        <f>HYPERLINK(SUBSTITUTE(T(hl_0),"{0}","326331626125400"),hn_0)</f>
        <v>ОВ</v>
      </c>
      <c r="B1217" s="9">
        <v>7000</v>
      </c>
      <c r="C1217" s="11" t="s">
        <v>836</v>
      </c>
      <c r="D1217" s="15" t="s">
        <v>1431</v>
      </c>
      <c r="E1217" s="11" t="s">
        <v>258</v>
      </c>
      <c r="F1217" s="12" t="s">
        <v>1599</v>
      </c>
    </row>
    <row r="1218" spans="1:6" ht="12.75">
      <c r="A1218" s="10" t="str">
        <f>HYPERLINK(SUBSTITUTE(T(hl_0),"{0}","900331849510898"),hn_0)</f>
        <v>ОВ</v>
      </c>
      <c r="B1218" s="9">
        <v>7000</v>
      </c>
      <c r="C1218" s="11" t="s">
        <v>836</v>
      </c>
      <c r="D1218" s="15" t="s">
        <v>837</v>
      </c>
      <c r="E1218" s="11" t="s">
        <v>16</v>
      </c>
      <c r="F1218" s="12" t="s">
        <v>1599</v>
      </c>
    </row>
    <row r="1219" spans="1:6" ht="12.75">
      <c r="A1219" s="10" t="str">
        <f>HYPERLINK(SUBSTITUTE(T(hl_0),"{0}","900331561289811"),hn_0)</f>
        <v>ОВ</v>
      </c>
      <c r="B1219" s="9">
        <v>8000</v>
      </c>
      <c r="C1219" s="11" t="s">
        <v>838</v>
      </c>
      <c r="D1219" s="15" t="s">
        <v>839</v>
      </c>
      <c r="E1219" s="11" t="s">
        <v>16</v>
      </c>
      <c r="F1219" s="12" t="s">
        <v>1599</v>
      </c>
    </row>
    <row r="1220" spans="1:6" ht="12.75">
      <c r="A1220" s="10" t="str">
        <f>HYPERLINK(SUBSTITUTE(T(hl_0),"{0}","900331843618306"),hn_0)</f>
        <v>ОВ</v>
      </c>
      <c r="B1220" s="9">
        <v>16000</v>
      </c>
      <c r="C1220" s="11" t="s">
        <v>838</v>
      </c>
      <c r="D1220" s="15" t="s">
        <v>1432</v>
      </c>
      <c r="E1220" s="11" t="s">
        <v>16</v>
      </c>
      <c r="F1220" s="12" t="s">
        <v>1599</v>
      </c>
    </row>
    <row r="1221" spans="1:6" ht="38.25">
      <c r="A1221" s="10" t="str">
        <f>HYPERLINK(SUBSTITUTE(T(hl_0),"{0}","321330190370898"),hn_0)</f>
        <v>ОВ</v>
      </c>
      <c r="B1221" s="9">
        <v>9000</v>
      </c>
      <c r="C1221" s="11" t="s">
        <v>840</v>
      </c>
      <c r="D1221" s="15" t="s">
        <v>1433</v>
      </c>
      <c r="E1221" s="11" t="s">
        <v>409</v>
      </c>
      <c r="F1221" s="12" t="s">
        <v>1599</v>
      </c>
    </row>
    <row r="1222" spans="1:6" ht="12.75">
      <c r="A1222" s="10" t="str">
        <f>HYPERLINK(SUBSTITUTE(T(hl_0),"{0}","328330161815336"),hn_0)</f>
        <v>ОВ</v>
      </c>
      <c r="B1222" s="9">
        <v>4800</v>
      </c>
      <c r="C1222" s="11" t="s">
        <v>840</v>
      </c>
      <c r="D1222" s="15" t="s">
        <v>841</v>
      </c>
      <c r="E1222" s="11" t="s">
        <v>61</v>
      </c>
      <c r="F1222" s="11" t="s">
        <v>1599</v>
      </c>
    </row>
    <row r="1223" spans="1:6" ht="12.75">
      <c r="A1223" s="10" t="str">
        <f>HYPERLINK(SUBSTITUTE(T(hl_0),"{0}","900331899844162"),hn_0)</f>
        <v>ОВ</v>
      </c>
      <c r="B1223" s="9">
        <v>7000</v>
      </c>
      <c r="C1223" s="11" t="s">
        <v>840</v>
      </c>
      <c r="D1223" s="15" t="s">
        <v>842</v>
      </c>
      <c r="E1223" s="11" t="s">
        <v>16</v>
      </c>
      <c r="F1223" s="12" t="s">
        <v>1599</v>
      </c>
    </row>
    <row r="1224" spans="1:6" ht="38.25">
      <c r="A1224" s="10" t="str">
        <f>HYPERLINK(SUBSTITUTE(T(hl_0),"{0}","900331561435316"),hn_0)</f>
        <v>ОВ</v>
      </c>
      <c r="B1224" s="9">
        <v>11830</v>
      </c>
      <c r="C1224" s="11" t="s">
        <v>840</v>
      </c>
      <c r="D1224" s="15" t="s">
        <v>843</v>
      </c>
      <c r="E1224" s="11" t="s">
        <v>16</v>
      </c>
      <c r="F1224" s="12" t="s">
        <v>1599</v>
      </c>
    </row>
    <row r="1225" spans="1:6" ht="63.75">
      <c r="A1225" s="10" t="str">
        <f>HYPERLINK(SUBSTITUTE(T(hl_0),"{0}","320331560256632"),hn_0)</f>
        <v>ОВ</v>
      </c>
      <c r="B1225" s="9">
        <v>8000</v>
      </c>
      <c r="C1225" s="11" t="s">
        <v>844</v>
      </c>
      <c r="D1225" s="15" t="s">
        <v>1434</v>
      </c>
      <c r="E1225" s="11" t="s">
        <v>23</v>
      </c>
      <c r="F1225" s="12" t="s">
        <v>1599</v>
      </c>
    </row>
    <row r="1226" spans="1:6" ht="38.25">
      <c r="A1226" s="10" t="str">
        <f>HYPERLINK(SUBSTITUTE(T(hl_0),"{0}","320331535531680"),hn_0)</f>
        <v>ОВ</v>
      </c>
      <c r="B1226" s="9">
        <v>8000</v>
      </c>
      <c r="C1226" s="11" t="s">
        <v>844</v>
      </c>
      <c r="D1226" s="15" t="s">
        <v>1435</v>
      </c>
      <c r="E1226" s="11" t="s">
        <v>781</v>
      </c>
      <c r="F1226" s="12" t="s">
        <v>1599</v>
      </c>
    </row>
    <row r="1227" spans="1:6" ht="63.75">
      <c r="A1227" s="10" t="str">
        <f>HYPERLINK(SUBSTITUTE(T(hl_0),"{0}","320331560106121"),hn_0)</f>
        <v>ОВ</v>
      </c>
      <c r="B1227" s="9">
        <v>8000</v>
      </c>
      <c r="C1227" s="11" t="s">
        <v>844</v>
      </c>
      <c r="D1227" s="15" t="s">
        <v>1434</v>
      </c>
      <c r="E1227" s="11" t="s">
        <v>23</v>
      </c>
      <c r="F1227" s="12" t="s">
        <v>1599</v>
      </c>
    </row>
    <row r="1228" spans="1:6" ht="51">
      <c r="A1228" s="10" t="str">
        <f>HYPERLINK(SUBSTITUTE(T(hl_0),"{0}","900329777325031"),hn_0)</f>
        <v>ОВ</v>
      </c>
      <c r="B1228" s="9">
        <v>10000</v>
      </c>
      <c r="C1228" s="11" t="s">
        <v>844</v>
      </c>
      <c r="D1228" s="15" t="s">
        <v>845</v>
      </c>
      <c r="E1228" s="11" t="s">
        <v>16</v>
      </c>
      <c r="F1228" s="12" t="s">
        <v>1599</v>
      </c>
    </row>
    <row r="1229" spans="1:6" ht="51">
      <c r="A1229" s="10" t="str">
        <f>HYPERLINK(SUBSTITUTE(T(hl_0),"{0}","321327747703866"),hn_0)</f>
        <v>ОВ</v>
      </c>
      <c r="B1229" s="9">
        <v>6000</v>
      </c>
      <c r="C1229" s="11" t="s">
        <v>846</v>
      </c>
      <c r="D1229" s="15" t="s">
        <v>1436</v>
      </c>
      <c r="E1229" s="11" t="s">
        <v>847</v>
      </c>
      <c r="F1229" s="12" t="s">
        <v>1599</v>
      </c>
    </row>
    <row r="1230" spans="1:6" ht="76.5">
      <c r="A1230" s="10" t="str">
        <f>HYPERLINK(SUBSTITUTE(T(hl_0),"{0}","321328183908312"),hn_0)</f>
        <v>ОВ</v>
      </c>
      <c r="B1230" s="9">
        <v>4723</v>
      </c>
      <c r="C1230" s="11" t="s">
        <v>848</v>
      </c>
      <c r="D1230" s="15" t="s">
        <v>1437</v>
      </c>
      <c r="E1230" s="11" t="s">
        <v>849</v>
      </c>
      <c r="F1230" s="12" t="s">
        <v>1599</v>
      </c>
    </row>
    <row r="1231" spans="1:6" ht="38.25">
      <c r="A1231" s="10" t="str">
        <f>HYPERLINK(SUBSTITUTE(T(hl_0),"{0}","325328346729337"),hn_0)</f>
        <v>ОВ</v>
      </c>
      <c r="B1231" s="9">
        <v>7100</v>
      </c>
      <c r="C1231" s="11" t="s">
        <v>848</v>
      </c>
      <c r="D1231" s="15" t="s">
        <v>1438</v>
      </c>
      <c r="E1231" s="11" t="s">
        <v>850</v>
      </c>
      <c r="F1231" s="12" t="s">
        <v>1599</v>
      </c>
    </row>
    <row r="1232" spans="1:6" ht="38.25">
      <c r="A1232" s="10" t="str">
        <f>HYPERLINK(SUBSTITUTE(T(hl_0),"{0}","335332250419732"),hn_0)</f>
        <v>ОВ</v>
      </c>
      <c r="B1232" s="9">
        <v>5600</v>
      </c>
      <c r="C1232" s="11" t="s">
        <v>848</v>
      </c>
      <c r="D1232" s="15" t="s">
        <v>851</v>
      </c>
      <c r="E1232" s="11" t="s">
        <v>233</v>
      </c>
      <c r="F1232" s="11" t="s">
        <v>1599</v>
      </c>
    </row>
    <row r="1233" spans="1:6" ht="12.75">
      <c r="A1233" s="10" t="str">
        <f>HYPERLINK(SUBSTITUTE(T(hl_0),"{0}","900332195410387"),hn_0)</f>
        <v>ОВ</v>
      </c>
      <c r="B1233" s="9">
        <v>4723</v>
      </c>
      <c r="C1233" s="11" t="s">
        <v>848</v>
      </c>
      <c r="D1233" s="15" t="s">
        <v>852</v>
      </c>
      <c r="E1233" s="11" t="s">
        <v>16</v>
      </c>
      <c r="F1233" s="12" t="s">
        <v>1599</v>
      </c>
    </row>
    <row r="1234" spans="1:6" ht="12.75">
      <c r="A1234" s="10" t="str">
        <f>HYPERLINK(SUBSTITUTE(T(hl_0),"{0}","900332025304993"),hn_0)</f>
        <v>ОВ</v>
      </c>
      <c r="B1234" s="9">
        <v>4723</v>
      </c>
      <c r="C1234" s="11" t="s">
        <v>848</v>
      </c>
      <c r="D1234" s="15" t="s">
        <v>853</v>
      </c>
      <c r="E1234" s="11" t="s">
        <v>16</v>
      </c>
      <c r="F1234" s="12" t="s">
        <v>1599</v>
      </c>
    </row>
    <row r="1235" spans="1:6" ht="12.75">
      <c r="A1235" s="10" t="str">
        <f>HYPERLINK(SUBSTITUTE(T(hl_0),"{0}","900332246739870"),hn_0)</f>
        <v>ОВ</v>
      </c>
      <c r="B1235" s="9">
        <v>4723</v>
      </c>
      <c r="C1235" s="11" t="s">
        <v>848</v>
      </c>
      <c r="D1235" s="15" t="s">
        <v>854</v>
      </c>
      <c r="E1235" s="11" t="s">
        <v>16</v>
      </c>
      <c r="F1235" s="12" t="s">
        <v>1599</v>
      </c>
    </row>
    <row r="1236" spans="1:6" ht="25.5">
      <c r="A1236" s="10" t="str">
        <f>HYPERLINK(SUBSTITUTE(T(hl_0),"{0}","900332000321847"),hn_0)</f>
        <v>ОВ</v>
      </c>
      <c r="B1236" s="9">
        <v>4723</v>
      </c>
      <c r="C1236" s="11" t="s">
        <v>848</v>
      </c>
      <c r="D1236" s="15" t="s">
        <v>855</v>
      </c>
      <c r="E1236" s="11" t="s">
        <v>16</v>
      </c>
      <c r="F1236" s="12" t="s">
        <v>1599</v>
      </c>
    </row>
    <row r="1237" spans="1:6" ht="25.5">
      <c r="A1237" s="10" t="str">
        <f>HYPERLINK(SUBSTITUTE(T(hl_0),"{0}","900328889505289"),hn_0)</f>
        <v>ОВ</v>
      </c>
      <c r="B1237" s="9">
        <v>4723</v>
      </c>
      <c r="C1237" s="11" t="s">
        <v>848</v>
      </c>
      <c r="D1237" s="15" t="s">
        <v>856</v>
      </c>
      <c r="E1237" s="11" t="s">
        <v>16</v>
      </c>
      <c r="F1237" s="12" t="s">
        <v>1599</v>
      </c>
    </row>
    <row r="1238" spans="1:6" ht="25.5">
      <c r="A1238" s="10" t="str">
        <f>HYPERLINK(SUBSTITUTE(T(hl_0),"{0}","900328889505310"),hn_0)</f>
        <v>ОВ</v>
      </c>
      <c r="B1238" s="9">
        <v>4723</v>
      </c>
      <c r="C1238" s="11" t="s">
        <v>848</v>
      </c>
      <c r="D1238" s="15" t="s">
        <v>856</v>
      </c>
      <c r="E1238" s="11" t="s">
        <v>16</v>
      </c>
      <c r="F1238" s="12" t="s">
        <v>1599</v>
      </c>
    </row>
    <row r="1239" spans="1:6" ht="25.5">
      <c r="A1239" s="10" t="str">
        <f>HYPERLINK(SUBSTITUTE(T(hl_0),"{0}","900328889505319"),hn_0)</f>
        <v>ОВ</v>
      </c>
      <c r="B1239" s="9">
        <v>4723</v>
      </c>
      <c r="C1239" s="11" t="s">
        <v>848</v>
      </c>
      <c r="D1239" s="15" t="s">
        <v>856</v>
      </c>
      <c r="E1239" s="11" t="s">
        <v>16</v>
      </c>
      <c r="F1239" s="12" t="s">
        <v>1599</v>
      </c>
    </row>
    <row r="1240" spans="1:6" ht="25.5">
      <c r="A1240" s="10" t="str">
        <f>HYPERLINK(SUBSTITUTE(T(hl_0),"{0}","321331339008103"),hn_0)</f>
        <v>ОВ</v>
      </c>
      <c r="B1240" s="9">
        <v>8000</v>
      </c>
      <c r="C1240" s="11" t="s">
        <v>857</v>
      </c>
      <c r="D1240" s="15" t="s">
        <v>1439</v>
      </c>
      <c r="E1240" s="11" t="s">
        <v>573</v>
      </c>
      <c r="F1240" s="12" t="s">
        <v>1599</v>
      </c>
    </row>
    <row r="1241" spans="1:6" ht="38.25">
      <c r="A1241" s="10" t="str">
        <f>HYPERLINK(SUBSTITUTE(T(hl_0),"{0}","330331365785681"),hn_0)</f>
        <v>ОВ</v>
      </c>
      <c r="B1241" s="9">
        <v>4723</v>
      </c>
      <c r="C1241" s="11" t="s">
        <v>858</v>
      </c>
      <c r="D1241" s="15" t="s">
        <v>1440</v>
      </c>
      <c r="E1241" s="11" t="s">
        <v>859</v>
      </c>
      <c r="F1241" s="11" t="s">
        <v>1599</v>
      </c>
    </row>
    <row r="1242" spans="1:6" ht="38.25">
      <c r="A1242" s="10" t="str">
        <f>HYPERLINK(SUBSTITUTE(T(hl_0),"{0}","330331365754487"),hn_0)</f>
        <v>ОВ</v>
      </c>
      <c r="B1242" s="9">
        <v>4723</v>
      </c>
      <c r="C1242" s="11" t="s">
        <v>858</v>
      </c>
      <c r="D1242" s="15" t="s">
        <v>1441</v>
      </c>
      <c r="E1242" s="11" t="s">
        <v>332</v>
      </c>
      <c r="F1242" s="11" t="s">
        <v>1599</v>
      </c>
    </row>
    <row r="1243" spans="1:6" ht="38.25">
      <c r="A1243" s="10" t="str">
        <f>HYPERLINK(SUBSTITUTE(T(hl_0),"{0}","330331365764276"),hn_0)</f>
        <v>ОВ</v>
      </c>
      <c r="B1243" s="9">
        <v>4723</v>
      </c>
      <c r="C1243" s="11" t="s">
        <v>858</v>
      </c>
      <c r="D1243" s="15" t="s">
        <v>1442</v>
      </c>
      <c r="E1243" s="11" t="s">
        <v>447</v>
      </c>
      <c r="F1243" s="11" t="s">
        <v>1599</v>
      </c>
    </row>
    <row r="1244" spans="1:6" ht="38.25">
      <c r="A1244" s="10" t="str">
        <f>HYPERLINK(SUBSTITUTE(T(hl_0),"{0}","330331365759086"),hn_0)</f>
        <v>ОВ</v>
      </c>
      <c r="B1244" s="9">
        <v>4723</v>
      </c>
      <c r="C1244" s="11" t="s">
        <v>858</v>
      </c>
      <c r="D1244" s="15" t="s">
        <v>1443</v>
      </c>
      <c r="E1244" s="11" t="s">
        <v>61</v>
      </c>
      <c r="F1244" s="11" t="s">
        <v>1599</v>
      </c>
    </row>
    <row r="1245" spans="1:6" ht="38.25">
      <c r="A1245" s="10" t="str">
        <f>HYPERLINK(SUBSTITUTE(T(hl_0),"{0}","330331365774725"),hn_0)</f>
        <v>ОВ</v>
      </c>
      <c r="B1245" s="9">
        <v>4723</v>
      </c>
      <c r="C1245" s="11" t="s">
        <v>858</v>
      </c>
      <c r="D1245" s="15" t="s">
        <v>1444</v>
      </c>
      <c r="E1245" s="11" t="s">
        <v>860</v>
      </c>
      <c r="F1245" s="11" t="s">
        <v>1599</v>
      </c>
    </row>
    <row r="1246" spans="1:6" ht="38.25">
      <c r="A1246" s="10" t="str">
        <f>HYPERLINK(SUBSTITUTE(T(hl_0),"{0}","330331365781472"),hn_0)</f>
        <v>ОВ</v>
      </c>
      <c r="B1246" s="9">
        <v>4723</v>
      </c>
      <c r="C1246" s="11" t="s">
        <v>858</v>
      </c>
      <c r="D1246" s="15" t="s">
        <v>1445</v>
      </c>
      <c r="E1246" s="11" t="s">
        <v>861</v>
      </c>
      <c r="F1246" s="11" t="s">
        <v>1599</v>
      </c>
    </row>
    <row r="1247" spans="1:6" ht="51">
      <c r="A1247" s="10" t="str">
        <f>HYPERLINK(SUBSTITUTE(T(hl_0),"{0}","900330163815293"),hn_0)</f>
        <v>ОВ</v>
      </c>
      <c r="B1247" s="9">
        <v>9000</v>
      </c>
      <c r="C1247" s="11" t="s">
        <v>862</v>
      </c>
      <c r="D1247" s="15" t="s">
        <v>863</v>
      </c>
      <c r="E1247" s="11" t="s">
        <v>16</v>
      </c>
      <c r="F1247" s="12" t="s">
        <v>1599</v>
      </c>
    </row>
    <row r="1248" spans="1:6" ht="25.5">
      <c r="A1248" s="10" t="str">
        <f>HYPERLINK(SUBSTITUTE(T(hl_0),"{0}","900327859820595"),hn_0)</f>
        <v>ОВ</v>
      </c>
      <c r="B1248" s="9">
        <v>10295</v>
      </c>
      <c r="C1248" s="11" t="s">
        <v>862</v>
      </c>
      <c r="D1248" s="15" t="s">
        <v>864</v>
      </c>
      <c r="E1248" s="11" t="s">
        <v>20</v>
      </c>
      <c r="F1248" s="12" t="s">
        <v>1599</v>
      </c>
    </row>
    <row r="1249" spans="1:6" ht="25.5">
      <c r="A1249" s="10" t="str">
        <f>HYPERLINK(SUBSTITUTE(T(hl_0),"{0}","900327859975122"),hn_0)</f>
        <v>ОВ</v>
      </c>
      <c r="B1249" s="9">
        <v>10295</v>
      </c>
      <c r="C1249" s="11" t="s">
        <v>862</v>
      </c>
      <c r="D1249" s="15" t="s">
        <v>865</v>
      </c>
      <c r="E1249" s="11" t="s">
        <v>258</v>
      </c>
      <c r="F1249" s="12" t="s">
        <v>1599</v>
      </c>
    </row>
    <row r="1250" spans="1:6" ht="38.25">
      <c r="A1250" s="10" t="str">
        <f>HYPERLINK(SUBSTITUTE(T(hl_0),"{0}","326331702723095"),hn_0)</f>
        <v>ОВ</v>
      </c>
      <c r="B1250" s="9">
        <v>6000</v>
      </c>
      <c r="C1250" s="11" t="s">
        <v>866</v>
      </c>
      <c r="D1250" s="15" t="s">
        <v>1446</v>
      </c>
      <c r="E1250" s="11" t="s">
        <v>258</v>
      </c>
      <c r="F1250" s="12" t="s">
        <v>1599</v>
      </c>
    </row>
    <row r="1251" spans="1:6" ht="12.75">
      <c r="A1251" s="10" t="str">
        <f>HYPERLINK(SUBSTITUTE(T(hl_0),"{0}","900332170384745"),hn_0)</f>
        <v>ОВ</v>
      </c>
      <c r="B1251" s="9">
        <v>4723</v>
      </c>
      <c r="C1251" s="11" t="s">
        <v>866</v>
      </c>
      <c r="D1251" s="15" t="s">
        <v>867</v>
      </c>
      <c r="E1251" s="11" t="s">
        <v>16</v>
      </c>
      <c r="F1251" s="12" t="s">
        <v>1599</v>
      </c>
    </row>
    <row r="1252" spans="1:6" ht="12.75">
      <c r="A1252" s="10" t="str">
        <f>HYPERLINK(SUBSTITUTE(T(hl_0),"{0}","900331794763330"),hn_0)</f>
        <v>ОВ</v>
      </c>
      <c r="B1252" s="9">
        <v>4723</v>
      </c>
      <c r="C1252" s="11" t="s">
        <v>868</v>
      </c>
      <c r="D1252" s="15" t="s">
        <v>869</v>
      </c>
      <c r="E1252" s="11" t="s">
        <v>16</v>
      </c>
      <c r="F1252" s="12" t="s">
        <v>1599</v>
      </c>
    </row>
    <row r="1253" spans="1:6" ht="25.5">
      <c r="A1253" s="10" t="str">
        <f>HYPERLINK(SUBSTITUTE(T(hl_0),"{0}","900332148407686"),hn_0)</f>
        <v>ОВ</v>
      </c>
      <c r="B1253" s="9">
        <v>4830</v>
      </c>
      <c r="C1253" s="11" t="s">
        <v>870</v>
      </c>
      <c r="D1253" s="15" t="s">
        <v>871</v>
      </c>
      <c r="E1253" s="11" t="s">
        <v>872</v>
      </c>
      <c r="F1253" s="12" t="s">
        <v>1599</v>
      </c>
    </row>
    <row r="1254" spans="1:6" ht="38.25">
      <c r="A1254" s="10" t="str">
        <f>HYPERLINK(SUBSTITUTE(T(hl_0),"{0}","900330086152326"),hn_0)</f>
        <v>ОВ</v>
      </c>
      <c r="B1254" s="9">
        <v>6250</v>
      </c>
      <c r="C1254" s="11" t="s">
        <v>870</v>
      </c>
      <c r="D1254" s="15" t="s">
        <v>873</v>
      </c>
      <c r="E1254" s="11" t="s">
        <v>16</v>
      </c>
      <c r="F1254" s="12" t="s">
        <v>1599</v>
      </c>
    </row>
    <row r="1255" spans="1:6" ht="12.75">
      <c r="A1255" s="10" t="str">
        <f>HYPERLINK(SUBSTITUTE(T(hl_0),"{0}","900327941974105"),hn_0)</f>
        <v>ОВ</v>
      </c>
      <c r="B1255" s="9">
        <v>4723</v>
      </c>
      <c r="C1255" s="11" t="s">
        <v>870</v>
      </c>
      <c r="D1255" s="15" t="s">
        <v>874</v>
      </c>
      <c r="E1255" s="11" t="s">
        <v>16</v>
      </c>
      <c r="F1255" s="12" t="s">
        <v>1599</v>
      </c>
    </row>
    <row r="1256" spans="1:6" ht="12.75">
      <c r="A1256" s="10" t="str">
        <f>HYPERLINK(SUBSTITUTE(T(hl_0),"{0}","319331819180850"),hn_0)</f>
        <v>ОВ</v>
      </c>
      <c r="B1256" s="9">
        <v>8000</v>
      </c>
      <c r="C1256" s="11" t="s">
        <v>875</v>
      </c>
      <c r="D1256" s="15" t="s">
        <v>876</v>
      </c>
      <c r="E1256" s="11" t="s">
        <v>22</v>
      </c>
      <c r="F1256" s="11" t="s">
        <v>1599</v>
      </c>
    </row>
    <row r="1257" spans="1:6" ht="12.75">
      <c r="A1257" s="10" t="str">
        <f>HYPERLINK(SUBSTITUTE(T(hl_0),"{0}","328332224114293"),hn_0)</f>
        <v>ОВ</v>
      </c>
      <c r="B1257" s="9">
        <v>4800</v>
      </c>
      <c r="C1257" s="11" t="s">
        <v>875</v>
      </c>
      <c r="D1257" s="15" t="s">
        <v>877</v>
      </c>
      <c r="E1257" s="11" t="s">
        <v>61</v>
      </c>
      <c r="F1257" s="11" t="s">
        <v>1599</v>
      </c>
    </row>
    <row r="1258" spans="1:6" ht="12.75">
      <c r="A1258" s="10" t="str">
        <f>HYPERLINK(SUBSTITUTE(T(hl_0),"{0}","329331623336027"),hn_0)</f>
        <v>ОВ</v>
      </c>
      <c r="B1258" s="9">
        <v>5500</v>
      </c>
      <c r="C1258" s="11" t="s">
        <v>875</v>
      </c>
      <c r="D1258" s="15" t="s">
        <v>878</v>
      </c>
      <c r="E1258" s="11" t="s">
        <v>44</v>
      </c>
      <c r="F1258" s="11" t="s">
        <v>1599</v>
      </c>
    </row>
    <row r="1259" spans="1:6" ht="38.25">
      <c r="A1259" s="10" t="str">
        <f>HYPERLINK(SUBSTITUTE(T(hl_0),"{0}","333332249024096"),hn_0)</f>
        <v>ОВ</v>
      </c>
      <c r="B1259" s="9">
        <v>4723</v>
      </c>
      <c r="C1259" s="11" t="s">
        <v>875</v>
      </c>
      <c r="D1259" s="15" t="s">
        <v>879</v>
      </c>
      <c r="E1259" s="11" t="s">
        <v>880</v>
      </c>
      <c r="F1259" s="11" t="s">
        <v>1599</v>
      </c>
    </row>
    <row r="1260" spans="1:6" ht="38.25">
      <c r="A1260" s="10" t="str">
        <f>HYPERLINK(SUBSTITUTE(T(hl_0),"{0}","333332249148540"),hn_0)</f>
        <v>ОВ</v>
      </c>
      <c r="B1260" s="9">
        <v>4723</v>
      </c>
      <c r="C1260" s="11" t="s">
        <v>875</v>
      </c>
      <c r="D1260" s="15" t="s">
        <v>879</v>
      </c>
      <c r="E1260" s="11" t="s">
        <v>880</v>
      </c>
      <c r="F1260" s="11" t="s">
        <v>1599</v>
      </c>
    </row>
    <row r="1261" spans="1:6" ht="12.75">
      <c r="A1261" s="10" t="str">
        <f>HYPERLINK(SUBSTITUTE(T(hl_0),"{0}","900331508473338"),hn_0)</f>
        <v>ОВ</v>
      </c>
      <c r="B1261" s="9">
        <v>2361.5</v>
      </c>
      <c r="C1261" s="11" t="s">
        <v>875</v>
      </c>
      <c r="D1261" s="15" t="s">
        <v>881</v>
      </c>
      <c r="E1261" s="11" t="s">
        <v>16</v>
      </c>
      <c r="F1261" s="12" t="s">
        <v>1599</v>
      </c>
    </row>
    <row r="1262" spans="1:6" ht="12.75">
      <c r="A1262" s="10" t="str">
        <f>HYPERLINK(SUBSTITUTE(T(hl_0),"{0}","900331624733511"),hn_0)</f>
        <v>ОВ</v>
      </c>
      <c r="B1262" s="9">
        <v>5008</v>
      </c>
      <c r="C1262" s="11" t="s">
        <v>875</v>
      </c>
      <c r="D1262" s="15" t="s">
        <v>882</v>
      </c>
      <c r="E1262" s="11" t="s">
        <v>883</v>
      </c>
      <c r="F1262" s="12" t="s">
        <v>1599</v>
      </c>
    </row>
    <row r="1263" spans="1:6" ht="12.75">
      <c r="A1263" s="10" t="str">
        <f>HYPERLINK(SUBSTITUTE(T(hl_0),"{0}","900332172379213"),hn_0)</f>
        <v>ОВ</v>
      </c>
      <c r="B1263" s="9">
        <v>4723</v>
      </c>
      <c r="C1263" s="11" t="s">
        <v>875</v>
      </c>
      <c r="D1263" s="15" t="s">
        <v>884</v>
      </c>
      <c r="E1263" s="11" t="s">
        <v>14</v>
      </c>
      <c r="F1263" s="12" t="s">
        <v>1599</v>
      </c>
    </row>
    <row r="1264" spans="1:6" ht="12.75">
      <c r="A1264" s="10" t="str">
        <f>HYPERLINK(SUBSTITUTE(T(hl_0),"{0}","900332145324113"),hn_0)</f>
        <v>ОВ</v>
      </c>
      <c r="B1264" s="9">
        <v>6000</v>
      </c>
      <c r="C1264" s="11" t="s">
        <v>875</v>
      </c>
      <c r="D1264" s="15" t="s">
        <v>885</v>
      </c>
      <c r="E1264" s="11" t="s">
        <v>16</v>
      </c>
      <c r="F1264" s="12" t="s">
        <v>1599</v>
      </c>
    </row>
    <row r="1265" spans="1:6" ht="38.25">
      <c r="A1265" s="10" t="str">
        <f>HYPERLINK(SUBSTITUTE(T(hl_0),"{0}","900329307796306"),hn_0)</f>
        <v>ОВ</v>
      </c>
      <c r="B1265" s="9">
        <v>4723</v>
      </c>
      <c r="C1265" s="11" t="s">
        <v>875</v>
      </c>
      <c r="D1265" s="15" t="s">
        <v>886</v>
      </c>
      <c r="E1265" s="11" t="s">
        <v>126</v>
      </c>
      <c r="F1265" s="12" t="s">
        <v>1599</v>
      </c>
    </row>
    <row r="1266" spans="1:6" ht="38.25">
      <c r="A1266" s="10" t="str">
        <f>HYPERLINK(SUBSTITUTE(T(hl_0),"{0}","900329311829436"),hn_0)</f>
        <v>ОВ</v>
      </c>
      <c r="B1266" s="9">
        <v>4723</v>
      </c>
      <c r="C1266" s="11" t="s">
        <v>875</v>
      </c>
      <c r="D1266" s="15" t="s">
        <v>887</v>
      </c>
      <c r="E1266" s="11" t="s">
        <v>87</v>
      </c>
      <c r="F1266" s="12" t="s">
        <v>1599</v>
      </c>
    </row>
    <row r="1267" spans="1:6" ht="25.5">
      <c r="A1267" s="10" t="str">
        <f>HYPERLINK(SUBSTITUTE(T(hl_0),"{0}","900329307861123"),hn_0)</f>
        <v>ОВ</v>
      </c>
      <c r="B1267" s="9">
        <v>4723</v>
      </c>
      <c r="C1267" s="11" t="s">
        <v>875</v>
      </c>
      <c r="D1267" s="15" t="s">
        <v>888</v>
      </c>
      <c r="E1267" s="11" t="s">
        <v>112</v>
      </c>
      <c r="F1267" s="12" t="s">
        <v>1599</v>
      </c>
    </row>
    <row r="1268" spans="1:6" ht="38.25">
      <c r="A1268" s="10" t="str">
        <f>HYPERLINK(SUBSTITUTE(T(hl_0),"{0}","900329308118873"),hn_0)</f>
        <v>ОВ</v>
      </c>
      <c r="B1268" s="9">
        <v>4723</v>
      </c>
      <c r="C1268" s="11" t="s">
        <v>875</v>
      </c>
      <c r="D1268" s="15" t="s">
        <v>889</v>
      </c>
      <c r="E1268" s="11" t="s">
        <v>83</v>
      </c>
      <c r="F1268" s="12" t="s">
        <v>1599</v>
      </c>
    </row>
    <row r="1269" spans="1:6" ht="38.25">
      <c r="A1269" s="10" t="str">
        <f>HYPERLINK(SUBSTITUTE(T(hl_0),"{0}","900329308088566"),hn_0)</f>
        <v>ОВ</v>
      </c>
      <c r="B1269" s="9">
        <v>4723</v>
      </c>
      <c r="C1269" s="11" t="s">
        <v>875</v>
      </c>
      <c r="D1269" s="15" t="s">
        <v>890</v>
      </c>
      <c r="E1269" s="11" t="s">
        <v>192</v>
      </c>
      <c r="F1269" s="12" t="s">
        <v>1599</v>
      </c>
    </row>
    <row r="1270" spans="1:6" ht="38.25">
      <c r="A1270" s="10" t="str">
        <f>HYPERLINK(SUBSTITUTE(T(hl_0),"{0}","900329307969450"),hn_0)</f>
        <v>ОВ</v>
      </c>
      <c r="B1270" s="9">
        <v>4723</v>
      </c>
      <c r="C1270" s="11" t="s">
        <v>875</v>
      </c>
      <c r="D1270" s="15" t="s">
        <v>891</v>
      </c>
      <c r="E1270" s="11" t="s">
        <v>75</v>
      </c>
      <c r="F1270" s="12" t="s">
        <v>1599</v>
      </c>
    </row>
    <row r="1271" spans="1:6" ht="38.25">
      <c r="A1271" s="10" t="str">
        <f>HYPERLINK(SUBSTITUTE(T(hl_0),"{0}","900329308058506"),hn_0)</f>
        <v>ОВ</v>
      </c>
      <c r="B1271" s="9">
        <v>4723</v>
      </c>
      <c r="C1271" s="11" t="s">
        <v>875</v>
      </c>
      <c r="D1271" s="15" t="s">
        <v>892</v>
      </c>
      <c r="E1271" s="11" t="s">
        <v>91</v>
      </c>
      <c r="F1271" s="12" t="s">
        <v>1599</v>
      </c>
    </row>
    <row r="1272" spans="1:6" ht="38.25">
      <c r="A1272" s="10" t="str">
        <f>HYPERLINK(SUBSTITUTE(T(hl_0),"{0}","900329285956905"),hn_0)</f>
        <v>ОВ</v>
      </c>
      <c r="B1272" s="9">
        <v>4723</v>
      </c>
      <c r="C1272" s="11" t="s">
        <v>875</v>
      </c>
      <c r="D1272" s="15" t="s">
        <v>893</v>
      </c>
      <c r="E1272" s="11" t="s">
        <v>894</v>
      </c>
      <c r="F1272" s="12" t="s">
        <v>1599</v>
      </c>
    </row>
    <row r="1273" spans="1:6" ht="38.25">
      <c r="A1273" s="10" t="str">
        <f>HYPERLINK(SUBSTITUTE(T(hl_0),"{0}","900329307892259"),hn_0)</f>
        <v>ОВ</v>
      </c>
      <c r="B1273" s="9">
        <v>4723</v>
      </c>
      <c r="C1273" s="11" t="s">
        <v>875</v>
      </c>
      <c r="D1273" s="15" t="s">
        <v>895</v>
      </c>
      <c r="E1273" s="11" t="s">
        <v>89</v>
      </c>
      <c r="F1273" s="12" t="s">
        <v>1599</v>
      </c>
    </row>
    <row r="1274" spans="1:6" ht="76.5">
      <c r="A1274" s="10" t="str">
        <f>HYPERLINK(SUBSTITUTE(T(hl_0),"{0}","900327618975041"),hn_0)</f>
        <v>ОВ</v>
      </c>
      <c r="B1274" s="9">
        <v>4723</v>
      </c>
      <c r="C1274" s="11" t="s">
        <v>875</v>
      </c>
      <c r="D1274" s="15" t="s">
        <v>896</v>
      </c>
      <c r="E1274" s="11" t="s">
        <v>192</v>
      </c>
      <c r="F1274" s="12" t="s">
        <v>1599</v>
      </c>
    </row>
    <row r="1275" spans="1:6" ht="38.25">
      <c r="A1275" s="10" t="str">
        <f>HYPERLINK(SUBSTITUTE(T(hl_0),"{0}","900327362731297"),hn_0)</f>
        <v>ОВ</v>
      </c>
      <c r="B1275" s="9">
        <v>4723</v>
      </c>
      <c r="C1275" s="11" t="s">
        <v>875</v>
      </c>
      <c r="D1275" s="15" t="s">
        <v>897</v>
      </c>
      <c r="E1275" s="11" t="s">
        <v>196</v>
      </c>
      <c r="F1275" s="12" t="s">
        <v>1599</v>
      </c>
    </row>
    <row r="1276" spans="1:6" ht="63.75">
      <c r="A1276" s="10" t="str">
        <f>HYPERLINK(SUBSTITUTE(T(hl_0),"{0}","900327597121682"),hn_0)</f>
        <v>ОВ</v>
      </c>
      <c r="B1276" s="9">
        <v>4723</v>
      </c>
      <c r="C1276" s="11" t="s">
        <v>875</v>
      </c>
      <c r="D1276" s="15" t="s">
        <v>898</v>
      </c>
      <c r="E1276" s="11" t="s">
        <v>166</v>
      </c>
      <c r="F1276" s="12" t="s">
        <v>1599</v>
      </c>
    </row>
    <row r="1277" spans="1:6" ht="114.75">
      <c r="A1277" s="10" t="str">
        <f>HYPERLINK(SUBSTITUTE(T(hl_0),"{0}","900327618915260"),hn_0)</f>
        <v>ОВ</v>
      </c>
      <c r="B1277" s="9">
        <v>4723</v>
      </c>
      <c r="C1277" s="11" t="s">
        <v>875</v>
      </c>
      <c r="D1277" s="15" t="s">
        <v>899</v>
      </c>
      <c r="E1277" s="11" t="s">
        <v>91</v>
      </c>
      <c r="F1277" s="12" t="s">
        <v>1599</v>
      </c>
    </row>
    <row r="1278" spans="1:6" ht="127.5">
      <c r="A1278" s="10" t="str">
        <f>HYPERLINK(SUBSTITUTE(T(hl_0),"{0}","900327618927956"),hn_0)</f>
        <v>ОВ</v>
      </c>
      <c r="B1278" s="9">
        <v>4723</v>
      </c>
      <c r="C1278" s="11" t="s">
        <v>875</v>
      </c>
      <c r="D1278" s="15" t="s">
        <v>900</v>
      </c>
      <c r="E1278" s="11" t="s">
        <v>94</v>
      </c>
      <c r="F1278" s="12" t="s">
        <v>1599</v>
      </c>
    </row>
    <row r="1279" spans="1:6" ht="63.75">
      <c r="A1279" s="10" t="str">
        <f>HYPERLINK(SUBSTITUTE(T(hl_0),"{0}","900327618945945"),hn_0)</f>
        <v>ОВ</v>
      </c>
      <c r="B1279" s="9">
        <v>4723</v>
      </c>
      <c r="C1279" s="11" t="s">
        <v>875</v>
      </c>
      <c r="D1279" s="15" t="s">
        <v>901</v>
      </c>
      <c r="E1279" s="11" t="s">
        <v>132</v>
      </c>
      <c r="F1279" s="12" t="s">
        <v>1599</v>
      </c>
    </row>
    <row r="1280" spans="1:6" ht="63.75">
      <c r="A1280" s="10" t="str">
        <f>HYPERLINK(SUBSTITUTE(T(hl_0),"{0}","900327597225881"),hn_0)</f>
        <v>ОВ</v>
      </c>
      <c r="B1280" s="9">
        <v>4723</v>
      </c>
      <c r="C1280" s="11" t="s">
        <v>875</v>
      </c>
      <c r="D1280" s="15" t="s">
        <v>898</v>
      </c>
      <c r="E1280" s="11" t="s">
        <v>148</v>
      </c>
      <c r="F1280" s="12" t="s">
        <v>1599</v>
      </c>
    </row>
    <row r="1281" spans="1:6" ht="38.25">
      <c r="A1281" s="10" t="str">
        <f>HYPERLINK(SUBSTITUTE(T(hl_0),"{0}","900327535446590"),hn_0)</f>
        <v>ОВ</v>
      </c>
      <c r="B1281" s="9">
        <v>4723</v>
      </c>
      <c r="C1281" s="11" t="s">
        <v>875</v>
      </c>
      <c r="D1281" s="15" t="s">
        <v>902</v>
      </c>
      <c r="E1281" s="11" t="s">
        <v>903</v>
      </c>
      <c r="F1281" s="12" t="s">
        <v>1599</v>
      </c>
    </row>
    <row r="1282" spans="1:6" ht="38.25">
      <c r="A1282" s="10" t="str">
        <f>HYPERLINK(SUBSTITUTE(T(hl_0),"{0}","900327362693367"),hn_0)</f>
        <v>ОВ</v>
      </c>
      <c r="B1282" s="9">
        <v>4723</v>
      </c>
      <c r="C1282" s="11" t="s">
        <v>875</v>
      </c>
      <c r="D1282" s="15" t="s">
        <v>904</v>
      </c>
      <c r="E1282" s="11" t="s">
        <v>905</v>
      </c>
      <c r="F1282" s="12" t="s">
        <v>1599</v>
      </c>
    </row>
    <row r="1283" spans="1:6" ht="63.75">
      <c r="A1283" s="10" t="str">
        <f>HYPERLINK(SUBSTITUTE(T(hl_0),"{0}","900327599060947"),hn_0)</f>
        <v>ОВ</v>
      </c>
      <c r="B1283" s="9">
        <v>4723</v>
      </c>
      <c r="C1283" s="11" t="s">
        <v>875</v>
      </c>
      <c r="D1283" s="15" t="s">
        <v>898</v>
      </c>
      <c r="E1283" s="11" t="s">
        <v>190</v>
      </c>
      <c r="F1283" s="12" t="s">
        <v>1599</v>
      </c>
    </row>
    <row r="1284" spans="1:6" ht="63.75">
      <c r="A1284" s="10" t="str">
        <f>HYPERLINK(SUBSTITUTE(T(hl_0),"{0}","900327597088107"),hn_0)</f>
        <v>ОВ</v>
      </c>
      <c r="B1284" s="9">
        <v>4723</v>
      </c>
      <c r="C1284" s="11" t="s">
        <v>875</v>
      </c>
      <c r="D1284" s="15" t="s">
        <v>898</v>
      </c>
      <c r="E1284" s="11" t="s">
        <v>894</v>
      </c>
      <c r="F1284" s="12" t="s">
        <v>1599</v>
      </c>
    </row>
    <row r="1285" spans="1:6" ht="76.5">
      <c r="A1285" s="10" t="str">
        <f>HYPERLINK(SUBSTITUTE(T(hl_0),"{0}","900327618906658"),hn_0)</f>
        <v>ОВ</v>
      </c>
      <c r="B1285" s="9">
        <v>4723</v>
      </c>
      <c r="C1285" s="11" t="s">
        <v>875</v>
      </c>
      <c r="D1285" s="15" t="s">
        <v>906</v>
      </c>
      <c r="E1285" s="11" t="s">
        <v>112</v>
      </c>
      <c r="F1285" s="12" t="s">
        <v>1599</v>
      </c>
    </row>
    <row r="1286" spans="1:6" ht="38.25">
      <c r="A1286" s="10" t="str">
        <f>HYPERLINK(SUBSTITUTE(T(hl_0),"{0}","900327535431885"),hn_0)</f>
        <v>ОВ</v>
      </c>
      <c r="B1286" s="9">
        <v>4723</v>
      </c>
      <c r="C1286" s="11" t="s">
        <v>875</v>
      </c>
      <c r="D1286" s="15" t="s">
        <v>902</v>
      </c>
      <c r="E1286" s="11" t="s">
        <v>119</v>
      </c>
      <c r="F1286" s="12" t="s">
        <v>1599</v>
      </c>
    </row>
    <row r="1287" spans="1:6" ht="51">
      <c r="A1287" s="10" t="str">
        <f>HYPERLINK(SUBSTITUTE(T(hl_0),"{0}","900327487556102"),hn_0)</f>
        <v>ОВ</v>
      </c>
      <c r="B1287" s="9">
        <v>4723</v>
      </c>
      <c r="C1287" s="11" t="s">
        <v>875</v>
      </c>
      <c r="D1287" s="15" t="s">
        <v>907</v>
      </c>
      <c r="E1287" s="11" t="s">
        <v>114</v>
      </c>
      <c r="F1287" s="12" t="s">
        <v>1599</v>
      </c>
    </row>
    <row r="1288" spans="1:6" ht="51">
      <c r="A1288" s="10" t="str">
        <f>HYPERLINK(SUBSTITUTE(T(hl_0),"{0}","900327487595608"),hn_0)</f>
        <v>ОВ</v>
      </c>
      <c r="B1288" s="9">
        <v>4723</v>
      </c>
      <c r="C1288" s="11" t="s">
        <v>875</v>
      </c>
      <c r="D1288" s="15" t="s">
        <v>907</v>
      </c>
      <c r="E1288" s="11" t="s">
        <v>114</v>
      </c>
      <c r="F1288" s="12" t="s">
        <v>1599</v>
      </c>
    </row>
    <row r="1289" spans="1:6" ht="38.25">
      <c r="A1289" s="10" t="str">
        <f>HYPERLINK(SUBSTITUTE(T(hl_0),"{0}","900327536084368"),hn_0)</f>
        <v>ОВ</v>
      </c>
      <c r="B1289" s="9">
        <v>4723</v>
      </c>
      <c r="C1289" s="11" t="s">
        <v>875</v>
      </c>
      <c r="D1289" s="15" t="s">
        <v>902</v>
      </c>
      <c r="E1289" s="11" t="s">
        <v>201</v>
      </c>
      <c r="F1289" s="12" t="s">
        <v>1599</v>
      </c>
    </row>
    <row r="1290" spans="1:6" ht="102">
      <c r="A1290" s="10" t="str">
        <f>HYPERLINK(SUBSTITUTE(T(hl_0),"{0}","900327618910335"),hn_0)</f>
        <v>ОВ</v>
      </c>
      <c r="B1290" s="9">
        <v>4723</v>
      </c>
      <c r="C1290" s="11" t="s">
        <v>875</v>
      </c>
      <c r="D1290" s="15" t="s">
        <v>908</v>
      </c>
      <c r="E1290" s="11" t="s">
        <v>129</v>
      </c>
      <c r="F1290" s="12" t="s">
        <v>1599</v>
      </c>
    </row>
    <row r="1291" spans="1:6" ht="63.75">
      <c r="A1291" s="10" t="str">
        <f>HYPERLINK(SUBSTITUTE(T(hl_0),"{0}","900327513049386"),hn_0)</f>
        <v>ОВ</v>
      </c>
      <c r="B1291" s="9">
        <v>4723</v>
      </c>
      <c r="C1291" s="11" t="s">
        <v>875</v>
      </c>
      <c r="D1291" s="15" t="s">
        <v>909</v>
      </c>
      <c r="E1291" s="11" t="s">
        <v>115</v>
      </c>
      <c r="F1291" s="12" t="s">
        <v>1599</v>
      </c>
    </row>
    <row r="1292" spans="1:6" ht="63.75">
      <c r="A1292" s="10" t="str">
        <f>HYPERLINK(SUBSTITUTE(T(hl_0),"{0}","900327618931666"),hn_0)</f>
        <v>ОВ</v>
      </c>
      <c r="B1292" s="9">
        <v>4723</v>
      </c>
      <c r="C1292" s="11" t="s">
        <v>875</v>
      </c>
      <c r="D1292" s="15" t="s">
        <v>910</v>
      </c>
      <c r="E1292" s="11" t="s">
        <v>112</v>
      </c>
      <c r="F1292" s="12" t="s">
        <v>1599</v>
      </c>
    </row>
    <row r="1293" spans="1:6" ht="63.75">
      <c r="A1293" s="10" t="str">
        <f>HYPERLINK(SUBSTITUTE(T(hl_0),"{0}","900327597146433"),hn_0)</f>
        <v>ОВ</v>
      </c>
      <c r="B1293" s="9">
        <v>4723</v>
      </c>
      <c r="C1293" s="11" t="s">
        <v>875</v>
      </c>
      <c r="D1293" s="15" t="s">
        <v>898</v>
      </c>
      <c r="E1293" s="11" t="s">
        <v>195</v>
      </c>
      <c r="F1293" s="12" t="s">
        <v>1599</v>
      </c>
    </row>
    <row r="1294" spans="1:6" ht="38.25">
      <c r="A1294" s="10" t="str">
        <f>HYPERLINK(SUBSTITUTE(T(hl_0),"{0}","900327362901942"),hn_0)</f>
        <v>ОВ</v>
      </c>
      <c r="B1294" s="9">
        <v>4723</v>
      </c>
      <c r="C1294" s="11" t="s">
        <v>875</v>
      </c>
      <c r="D1294" s="15" t="s">
        <v>911</v>
      </c>
      <c r="E1294" s="11" t="s">
        <v>912</v>
      </c>
      <c r="F1294" s="12" t="s">
        <v>1599</v>
      </c>
    </row>
    <row r="1295" spans="1:6" ht="63.75">
      <c r="A1295" s="10" t="str">
        <f>HYPERLINK(SUBSTITUTE(T(hl_0),"{0}","900327597132907"),hn_0)</f>
        <v>ОВ</v>
      </c>
      <c r="B1295" s="9">
        <v>4723</v>
      </c>
      <c r="C1295" s="11" t="s">
        <v>875</v>
      </c>
      <c r="D1295" s="15" t="s">
        <v>898</v>
      </c>
      <c r="E1295" s="11" t="s">
        <v>913</v>
      </c>
      <c r="F1295" s="12" t="s">
        <v>1599</v>
      </c>
    </row>
    <row r="1296" spans="1:6" ht="51">
      <c r="A1296" s="10" t="str">
        <f>HYPERLINK(SUBSTITUTE(T(hl_0),"{0}","900327487998561"),hn_0)</f>
        <v>ОВ</v>
      </c>
      <c r="B1296" s="9">
        <v>4723</v>
      </c>
      <c r="C1296" s="11" t="s">
        <v>875</v>
      </c>
      <c r="D1296" s="15" t="s">
        <v>907</v>
      </c>
      <c r="E1296" s="11" t="s">
        <v>167</v>
      </c>
      <c r="F1296" s="12" t="s">
        <v>1599</v>
      </c>
    </row>
    <row r="1297" spans="1:6" ht="63.75">
      <c r="A1297" s="10" t="str">
        <f>HYPERLINK(SUBSTITUTE(T(hl_0),"{0}","900327618952015"),hn_0)</f>
        <v>ОВ</v>
      </c>
      <c r="B1297" s="9">
        <v>4723</v>
      </c>
      <c r="C1297" s="11" t="s">
        <v>875</v>
      </c>
      <c r="D1297" s="15" t="s">
        <v>914</v>
      </c>
      <c r="E1297" s="11" t="s">
        <v>122</v>
      </c>
      <c r="F1297" s="12" t="s">
        <v>1599</v>
      </c>
    </row>
    <row r="1298" spans="1:6" ht="38.25">
      <c r="A1298" s="10" t="str">
        <f>HYPERLINK(SUBSTITUTE(T(hl_0),"{0}","900327535454831"),hn_0)</f>
        <v>ОВ</v>
      </c>
      <c r="B1298" s="9">
        <v>4723</v>
      </c>
      <c r="C1298" s="11" t="s">
        <v>875</v>
      </c>
      <c r="D1298" s="15" t="s">
        <v>902</v>
      </c>
      <c r="E1298" s="11" t="s">
        <v>151</v>
      </c>
      <c r="F1298" s="12" t="s">
        <v>1599</v>
      </c>
    </row>
    <row r="1299" spans="1:6" ht="51">
      <c r="A1299" s="10" t="str">
        <f>HYPERLINK(SUBSTITUTE(T(hl_0),"{0}","900327487506097"),hn_0)</f>
        <v>ОВ</v>
      </c>
      <c r="B1299" s="9">
        <v>4723</v>
      </c>
      <c r="C1299" s="11" t="s">
        <v>875</v>
      </c>
      <c r="D1299" s="15" t="s">
        <v>907</v>
      </c>
      <c r="E1299" s="11" t="s">
        <v>152</v>
      </c>
      <c r="F1299" s="12" t="s">
        <v>1599</v>
      </c>
    </row>
    <row r="1300" spans="1:6" ht="25.5">
      <c r="A1300" s="10" t="str">
        <f>HYPERLINK(SUBSTITUTE(T(hl_0),"{0}","900327920255346"),hn_0)</f>
        <v>ОВ</v>
      </c>
      <c r="B1300" s="9">
        <v>4723</v>
      </c>
      <c r="C1300" s="11" t="s">
        <v>875</v>
      </c>
      <c r="D1300" s="15" t="s">
        <v>915</v>
      </c>
      <c r="E1300" s="11" t="s">
        <v>16</v>
      </c>
      <c r="F1300" s="12" t="s">
        <v>1599</v>
      </c>
    </row>
    <row r="1301" spans="1:6" ht="12.75">
      <c r="A1301" s="10" t="str">
        <f>HYPERLINK(SUBSTITUTE(T(hl_0),"{0}","327331023267614"),hn_0)</f>
        <v>ОВ</v>
      </c>
      <c r="B1301" s="9">
        <v>8000</v>
      </c>
      <c r="C1301" s="11" t="s">
        <v>916</v>
      </c>
      <c r="D1301" s="15" t="s">
        <v>917</v>
      </c>
      <c r="E1301" s="11" t="s">
        <v>79</v>
      </c>
      <c r="F1301" s="12" t="s">
        <v>1599</v>
      </c>
    </row>
    <row r="1302" spans="1:6" ht="38.25">
      <c r="A1302" s="10" t="str">
        <f>HYPERLINK(SUBSTITUTE(T(hl_0),"{0}","321332223316087"),hn_0)</f>
        <v>ОВ</v>
      </c>
      <c r="B1302" s="9">
        <v>5000</v>
      </c>
      <c r="C1302" s="11" t="s">
        <v>918</v>
      </c>
      <c r="D1302" s="15" t="s">
        <v>1447</v>
      </c>
      <c r="E1302" s="11" t="s">
        <v>20</v>
      </c>
      <c r="F1302" s="12" t="s">
        <v>1599</v>
      </c>
    </row>
    <row r="1303" spans="1:6" ht="12.75">
      <c r="A1303" s="10" t="str">
        <f>HYPERLINK(SUBSTITUTE(T(hl_0),"{0}","325332143629962"),hn_0)</f>
        <v>ОВ</v>
      </c>
      <c r="B1303" s="9">
        <v>5500</v>
      </c>
      <c r="C1303" s="11" t="s">
        <v>918</v>
      </c>
      <c r="D1303" s="15" t="s">
        <v>919</v>
      </c>
      <c r="E1303" s="11" t="s">
        <v>36</v>
      </c>
      <c r="F1303" s="12" t="s">
        <v>1599</v>
      </c>
    </row>
    <row r="1304" spans="1:6" ht="12.75">
      <c r="A1304" s="10" t="str">
        <f>HYPERLINK(SUBSTITUTE(T(hl_0),"{0}","319330882437440"),hn_0)</f>
        <v>ОВ</v>
      </c>
      <c r="B1304" s="9">
        <v>5700</v>
      </c>
      <c r="C1304" s="11" t="s">
        <v>920</v>
      </c>
      <c r="D1304" s="15" t="s">
        <v>1448</v>
      </c>
      <c r="E1304" s="11" t="s">
        <v>22</v>
      </c>
      <c r="F1304" s="11" t="s">
        <v>1599</v>
      </c>
    </row>
    <row r="1305" spans="1:6" ht="12.75">
      <c r="A1305" s="10" t="str">
        <f>HYPERLINK(SUBSTITUTE(T(hl_0),"{0}","319330882435394"),hn_0)</f>
        <v>ОВ</v>
      </c>
      <c r="B1305" s="9">
        <v>5700</v>
      </c>
      <c r="C1305" s="11" t="s">
        <v>920</v>
      </c>
      <c r="D1305" s="15" t="s">
        <v>1449</v>
      </c>
      <c r="E1305" s="11" t="s">
        <v>22</v>
      </c>
      <c r="F1305" s="11" t="s">
        <v>1599</v>
      </c>
    </row>
    <row r="1306" spans="1:6" ht="25.5">
      <c r="A1306" s="10" t="str">
        <f>HYPERLINK(SUBSTITUTE(T(hl_0),"{0}","330326875683389"),hn_0)</f>
        <v>ОВ</v>
      </c>
      <c r="B1306" s="9">
        <v>4723</v>
      </c>
      <c r="C1306" s="11" t="s">
        <v>920</v>
      </c>
      <c r="D1306" s="15" t="s">
        <v>1450</v>
      </c>
      <c r="E1306" s="11" t="s">
        <v>45</v>
      </c>
      <c r="F1306" s="11" t="s">
        <v>1599</v>
      </c>
    </row>
    <row r="1307" spans="1:6" ht="25.5">
      <c r="A1307" s="10" t="str">
        <f>HYPERLINK(SUBSTITUTE(T(hl_0),"{0}","330326875636983"),hn_0)</f>
        <v>ОВ</v>
      </c>
      <c r="B1307" s="9">
        <v>4723</v>
      </c>
      <c r="C1307" s="11" t="s">
        <v>920</v>
      </c>
      <c r="D1307" s="15" t="s">
        <v>1450</v>
      </c>
      <c r="E1307" s="11" t="s">
        <v>45</v>
      </c>
      <c r="F1307" s="11" t="s">
        <v>1599</v>
      </c>
    </row>
    <row r="1308" spans="1:6" ht="12.75">
      <c r="A1308" s="10" t="str">
        <f>HYPERLINK(SUBSTITUTE(T(hl_0),"{0}","319331999623682"),hn_0)</f>
        <v>ОВ</v>
      </c>
      <c r="B1308" s="9">
        <v>5195</v>
      </c>
      <c r="C1308" s="11" t="s">
        <v>921</v>
      </c>
      <c r="D1308" s="15" t="s">
        <v>1451</v>
      </c>
      <c r="E1308" s="11" t="s">
        <v>22</v>
      </c>
      <c r="F1308" s="11" t="s">
        <v>1599</v>
      </c>
    </row>
    <row r="1309" spans="1:6" ht="12.75">
      <c r="A1309" s="10" t="str">
        <f>HYPERLINK(SUBSTITUTE(T(hl_0),"{0}","319330882225315"),hn_0)</f>
        <v>ОВ</v>
      </c>
      <c r="B1309" s="9">
        <v>5960</v>
      </c>
      <c r="C1309" s="11" t="s">
        <v>921</v>
      </c>
      <c r="D1309" s="15" t="s">
        <v>1452</v>
      </c>
      <c r="E1309" s="11" t="s">
        <v>22</v>
      </c>
      <c r="F1309" s="11" t="s">
        <v>1599</v>
      </c>
    </row>
    <row r="1310" spans="1:6" ht="25.5">
      <c r="A1310" s="10" t="str">
        <f>HYPERLINK(SUBSTITUTE(T(hl_0),"{0}","321331455524081"),hn_0)</f>
        <v>ОВ</v>
      </c>
      <c r="B1310" s="9">
        <v>5400</v>
      </c>
      <c r="C1310" s="11" t="s">
        <v>921</v>
      </c>
      <c r="D1310" s="15" t="s">
        <v>1453</v>
      </c>
      <c r="E1310" s="11" t="s">
        <v>20</v>
      </c>
      <c r="F1310" s="12" t="s">
        <v>1599</v>
      </c>
    </row>
    <row r="1311" spans="1:6" ht="12.75">
      <c r="A1311" s="10" t="str">
        <f>HYPERLINK(SUBSTITUTE(T(hl_0),"{0}","900331341796425"),hn_0)</f>
        <v>ОВ</v>
      </c>
      <c r="B1311" s="9">
        <v>5100</v>
      </c>
      <c r="C1311" s="11" t="s">
        <v>921</v>
      </c>
      <c r="D1311" s="15" t="s">
        <v>922</v>
      </c>
      <c r="E1311" s="11" t="s">
        <v>16</v>
      </c>
      <c r="F1311" s="12" t="s">
        <v>1599</v>
      </c>
    </row>
    <row r="1312" spans="1:6" ht="12.75">
      <c r="A1312" s="10" t="str">
        <f>HYPERLINK(SUBSTITUTE(T(hl_0),"{0}","900331341786104"),hn_0)</f>
        <v>ОВ</v>
      </c>
      <c r="B1312" s="9">
        <v>5100</v>
      </c>
      <c r="C1312" s="11" t="s">
        <v>921</v>
      </c>
      <c r="D1312" s="15" t="s">
        <v>923</v>
      </c>
      <c r="E1312" s="11" t="s">
        <v>16</v>
      </c>
      <c r="F1312" s="12" t="s">
        <v>1599</v>
      </c>
    </row>
    <row r="1313" spans="1:6" ht="12.75">
      <c r="A1313" s="10" t="str">
        <f>HYPERLINK(SUBSTITUTE(T(hl_0),"{0}","900331624798603"),hn_0)</f>
        <v>ОВ</v>
      </c>
      <c r="B1313" s="9">
        <v>5009</v>
      </c>
      <c r="C1313" s="11" t="s">
        <v>921</v>
      </c>
      <c r="D1313" s="15" t="s">
        <v>924</v>
      </c>
      <c r="E1313" s="11" t="s">
        <v>883</v>
      </c>
      <c r="F1313" s="12" t="s">
        <v>1599</v>
      </c>
    </row>
    <row r="1314" spans="1:6" ht="12.75">
      <c r="A1314" s="10" t="str">
        <f>HYPERLINK(SUBSTITUTE(T(hl_0),"{0}","900331363088304"),hn_0)</f>
        <v>ОВ</v>
      </c>
      <c r="B1314" s="9">
        <v>4900</v>
      </c>
      <c r="C1314" s="11" t="s">
        <v>921</v>
      </c>
      <c r="D1314" s="15" t="s">
        <v>925</v>
      </c>
      <c r="E1314" s="11" t="s">
        <v>16</v>
      </c>
      <c r="F1314" s="12" t="s">
        <v>1599</v>
      </c>
    </row>
    <row r="1315" spans="1:6" ht="12.75">
      <c r="A1315" s="10" t="str">
        <f>HYPERLINK(SUBSTITUTE(T(hl_0),"{0}","900331341788246"),hn_0)</f>
        <v>ОВ</v>
      </c>
      <c r="B1315" s="9">
        <v>5100</v>
      </c>
      <c r="C1315" s="11" t="s">
        <v>921</v>
      </c>
      <c r="D1315" s="15" t="s">
        <v>926</v>
      </c>
      <c r="E1315" s="11" t="s">
        <v>16</v>
      </c>
      <c r="F1315" s="12" t="s">
        <v>1599</v>
      </c>
    </row>
    <row r="1316" spans="1:6" ht="12.75">
      <c r="A1316" s="10" t="str">
        <f>HYPERLINK(SUBSTITUTE(T(hl_0),"{0}","900332027523297"),hn_0)</f>
        <v>ОВ</v>
      </c>
      <c r="B1316" s="9">
        <v>4723</v>
      </c>
      <c r="C1316" s="11" t="s">
        <v>921</v>
      </c>
      <c r="D1316" s="15" t="s">
        <v>927</v>
      </c>
      <c r="E1316" s="11" t="s">
        <v>16</v>
      </c>
      <c r="F1316" s="12" t="s">
        <v>1599</v>
      </c>
    </row>
    <row r="1317" spans="1:6" ht="12.75">
      <c r="A1317" s="10" t="str">
        <f>HYPERLINK(SUBSTITUTE(T(hl_0),"{0}","900331341784117"),hn_0)</f>
        <v>ОВ</v>
      </c>
      <c r="B1317" s="9">
        <v>5100</v>
      </c>
      <c r="C1317" s="11" t="s">
        <v>921</v>
      </c>
      <c r="D1317" s="15" t="s">
        <v>923</v>
      </c>
      <c r="E1317" s="11" t="s">
        <v>16</v>
      </c>
      <c r="F1317" s="12" t="s">
        <v>1599</v>
      </c>
    </row>
    <row r="1318" spans="1:6" ht="38.25">
      <c r="A1318" s="10" t="str">
        <f>HYPERLINK(SUBSTITUTE(T(hl_0),"{0}","321331289662093"),hn_0)</f>
        <v>ОВ</v>
      </c>
      <c r="B1318" s="9">
        <v>6000</v>
      </c>
      <c r="C1318" s="11" t="s">
        <v>928</v>
      </c>
      <c r="D1318" s="15" t="s">
        <v>1454</v>
      </c>
      <c r="E1318" s="11" t="s">
        <v>20</v>
      </c>
      <c r="F1318" s="12" t="s">
        <v>1599</v>
      </c>
    </row>
    <row r="1319" spans="1:6" ht="38.25">
      <c r="A1319" s="10" t="str">
        <f>HYPERLINK(SUBSTITUTE(T(hl_0),"{0}","321331289692476"),hn_0)</f>
        <v>ОВ</v>
      </c>
      <c r="B1319" s="9">
        <v>6000</v>
      </c>
      <c r="C1319" s="11" t="s">
        <v>928</v>
      </c>
      <c r="D1319" s="15" t="s">
        <v>1348</v>
      </c>
      <c r="E1319" s="11" t="s">
        <v>20</v>
      </c>
      <c r="F1319" s="12" t="s">
        <v>1599</v>
      </c>
    </row>
    <row r="1320" spans="1:6" ht="25.5">
      <c r="A1320" s="10" t="str">
        <f>HYPERLINK(SUBSTITUTE(T(hl_0),"{0}","321331701110699"),hn_0)</f>
        <v>ОВ</v>
      </c>
      <c r="B1320" s="9">
        <v>6000</v>
      </c>
      <c r="C1320" s="11" t="s">
        <v>929</v>
      </c>
      <c r="D1320" s="15" t="s">
        <v>1455</v>
      </c>
      <c r="E1320" s="11" t="s">
        <v>20</v>
      </c>
      <c r="F1320" s="12" t="s">
        <v>1599</v>
      </c>
    </row>
    <row r="1321" spans="1:6" ht="25.5">
      <c r="A1321" s="10" t="str">
        <f>HYPERLINK(SUBSTITUTE(T(hl_0),"{0}","321331701107189"),hn_0)</f>
        <v>ОВ</v>
      </c>
      <c r="B1321" s="9">
        <v>7000</v>
      </c>
      <c r="C1321" s="11" t="s">
        <v>929</v>
      </c>
      <c r="D1321" s="15" t="s">
        <v>1456</v>
      </c>
      <c r="E1321" s="11" t="s">
        <v>20</v>
      </c>
      <c r="F1321" s="12" t="s">
        <v>1599</v>
      </c>
    </row>
    <row r="1322" spans="1:6" ht="25.5">
      <c r="A1322" s="10" t="str">
        <f>HYPERLINK(SUBSTITUTE(T(hl_0),"{0}","321331702199924"),hn_0)</f>
        <v>ОВ</v>
      </c>
      <c r="B1322" s="9">
        <v>6000</v>
      </c>
      <c r="C1322" s="11" t="s">
        <v>929</v>
      </c>
      <c r="D1322" s="15" t="s">
        <v>1455</v>
      </c>
      <c r="E1322" s="11" t="s">
        <v>20</v>
      </c>
      <c r="F1322" s="12" t="s">
        <v>1599</v>
      </c>
    </row>
    <row r="1323" spans="1:6" ht="25.5">
      <c r="A1323" s="10" t="str">
        <f>HYPERLINK(SUBSTITUTE(T(hl_0),"{0}","330332145875359"),hn_0)</f>
        <v>ОВ</v>
      </c>
      <c r="B1323" s="9">
        <v>5000</v>
      </c>
      <c r="C1323" s="11" t="s">
        <v>929</v>
      </c>
      <c r="D1323" s="15" t="s">
        <v>1457</v>
      </c>
      <c r="E1323" s="11" t="s">
        <v>45</v>
      </c>
      <c r="F1323" s="11" t="s">
        <v>1599</v>
      </c>
    </row>
    <row r="1324" spans="1:6" ht="25.5">
      <c r="A1324" s="10" t="str">
        <f>HYPERLINK(SUBSTITUTE(T(hl_0),"{0}","330332145875366"),hn_0)</f>
        <v>ОВ</v>
      </c>
      <c r="B1324" s="9">
        <v>5000</v>
      </c>
      <c r="C1324" s="11" t="s">
        <v>929</v>
      </c>
      <c r="D1324" s="15" t="s">
        <v>1457</v>
      </c>
      <c r="E1324" s="11" t="s">
        <v>45</v>
      </c>
      <c r="F1324" s="11" t="s">
        <v>1599</v>
      </c>
    </row>
    <row r="1325" spans="1:6" ht="25.5">
      <c r="A1325" s="10" t="str">
        <f>HYPERLINK(SUBSTITUTE(T(hl_0),"{0}","330332145868918"),hn_0)</f>
        <v>ОВ</v>
      </c>
      <c r="B1325" s="9">
        <v>5000</v>
      </c>
      <c r="C1325" s="11" t="s">
        <v>929</v>
      </c>
      <c r="D1325" s="15" t="s">
        <v>1457</v>
      </c>
      <c r="E1325" s="11" t="s">
        <v>45</v>
      </c>
      <c r="F1325" s="11" t="s">
        <v>1599</v>
      </c>
    </row>
    <row r="1326" spans="1:6" ht="25.5">
      <c r="A1326" s="10" t="str">
        <f>HYPERLINK(SUBSTITUTE(T(hl_0),"{0}","325327619106449"),hn_0)</f>
        <v>ОВ</v>
      </c>
      <c r="B1326" s="9">
        <v>11000</v>
      </c>
      <c r="C1326" s="11" t="s">
        <v>930</v>
      </c>
      <c r="D1326" s="15" t="s">
        <v>931</v>
      </c>
      <c r="E1326" s="11" t="s">
        <v>932</v>
      </c>
      <c r="F1326" s="12" t="s">
        <v>1599</v>
      </c>
    </row>
    <row r="1327" spans="1:6" ht="25.5">
      <c r="A1327" s="10" t="str">
        <f>HYPERLINK(SUBSTITUTE(T(hl_0),"{0}","900328299541725"),hn_0)</f>
        <v>ОВ</v>
      </c>
      <c r="B1327" s="9">
        <v>4800</v>
      </c>
      <c r="C1327" s="11" t="s">
        <v>933</v>
      </c>
      <c r="D1327" s="15" t="s">
        <v>934</v>
      </c>
      <c r="E1327" s="11" t="s">
        <v>16</v>
      </c>
      <c r="F1327" s="12" t="s">
        <v>1599</v>
      </c>
    </row>
    <row r="1328" spans="1:6" ht="51">
      <c r="A1328" s="10" t="str">
        <f>HYPERLINK(SUBSTITUTE(T(hl_0),"{0}","326325824735263"),hn_0)</f>
        <v>ОВ</v>
      </c>
      <c r="B1328" s="9">
        <v>5500</v>
      </c>
      <c r="C1328" s="11" t="s">
        <v>935</v>
      </c>
      <c r="D1328" s="15" t="s">
        <v>1458</v>
      </c>
      <c r="E1328" s="11" t="s">
        <v>258</v>
      </c>
      <c r="F1328" s="12" t="s">
        <v>1599</v>
      </c>
    </row>
    <row r="1329" spans="1:6" ht="51">
      <c r="A1329" s="10" t="str">
        <f>HYPERLINK(SUBSTITUTE(T(hl_0),"{0}","326332025271961"),hn_0)</f>
        <v>ОВ</v>
      </c>
      <c r="B1329" s="9">
        <v>4723</v>
      </c>
      <c r="C1329" s="11" t="s">
        <v>935</v>
      </c>
      <c r="D1329" s="15" t="s">
        <v>1459</v>
      </c>
      <c r="E1329" s="11" t="s">
        <v>258</v>
      </c>
      <c r="F1329" s="12" t="s">
        <v>1599</v>
      </c>
    </row>
    <row r="1330" spans="1:6" ht="25.5">
      <c r="A1330" s="10" t="str">
        <f>HYPERLINK(SUBSTITUTE(T(hl_0),"{0}","321331967598351"),hn_0)</f>
        <v>ОВ</v>
      </c>
      <c r="B1330" s="9">
        <v>7020</v>
      </c>
      <c r="C1330" s="11" t="s">
        <v>936</v>
      </c>
      <c r="D1330" s="15" t="s">
        <v>1460</v>
      </c>
      <c r="E1330" s="11" t="s">
        <v>20</v>
      </c>
      <c r="F1330" s="12" t="s">
        <v>1599</v>
      </c>
    </row>
    <row r="1331" spans="1:6" ht="38.25">
      <c r="A1331" s="10" t="str">
        <f>HYPERLINK(SUBSTITUTE(T(hl_0),"{0}","325328346705704"),hn_0)</f>
        <v>ОВ</v>
      </c>
      <c r="B1331" s="9">
        <v>7500</v>
      </c>
      <c r="C1331" s="11" t="s">
        <v>936</v>
      </c>
      <c r="D1331" s="15" t="s">
        <v>937</v>
      </c>
      <c r="E1331" s="11" t="s">
        <v>850</v>
      </c>
      <c r="F1331" s="12" t="s">
        <v>1599</v>
      </c>
    </row>
    <row r="1332" spans="1:6" ht="25.5">
      <c r="A1332" s="10" t="str">
        <f>HYPERLINK(SUBSTITUTE(T(hl_0),"{0}","325328272702152"),hn_0)</f>
        <v>ОВ</v>
      </c>
      <c r="B1332" s="9">
        <v>4762</v>
      </c>
      <c r="C1332" s="11" t="s">
        <v>938</v>
      </c>
      <c r="D1332" s="15" t="s">
        <v>939</v>
      </c>
      <c r="E1332" s="11" t="s">
        <v>36</v>
      </c>
      <c r="F1332" s="12" t="s">
        <v>1599</v>
      </c>
    </row>
    <row r="1333" spans="1:6" ht="38.25">
      <c r="A1333" s="10" t="str">
        <f>HYPERLINK(SUBSTITUTE(T(hl_0),"{0}","332327988968818"),hn_0)</f>
        <v>ОВ</v>
      </c>
      <c r="B1333" s="9">
        <v>9500</v>
      </c>
      <c r="C1333" s="11" t="s">
        <v>938</v>
      </c>
      <c r="D1333" s="15" t="s">
        <v>1461</v>
      </c>
      <c r="E1333" s="11" t="s">
        <v>14</v>
      </c>
      <c r="F1333" s="11" t="s">
        <v>1599</v>
      </c>
    </row>
    <row r="1334" spans="1:6" ht="25.5">
      <c r="A1334" s="10" t="str">
        <f>HYPERLINK(SUBSTITUTE(T(hl_0),"{0}","900331562661797"),hn_0)</f>
        <v>ОВ</v>
      </c>
      <c r="B1334" s="9">
        <v>15000</v>
      </c>
      <c r="C1334" s="11" t="s">
        <v>938</v>
      </c>
      <c r="D1334" s="15" t="s">
        <v>940</v>
      </c>
      <c r="E1334" s="11" t="s">
        <v>16</v>
      </c>
      <c r="F1334" s="12" t="s">
        <v>1599</v>
      </c>
    </row>
    <row r="1335" spans="1:6" ht="25.5">
      <c r="A1335" s="10" t="str">
        <f>HYPERLINK(SUBSTITUTE(T(hl_0),"{0}","333332171570903"),hn_0)</f>
        <v>ОВ</v>
      </c>
      <c r="B1335" s="9">
        <v>8500</v>
      </c>
      <c r="C1335" s="11" t="s">
        <v>941</v>
      </c>
      <c r="D1335" s="15" t="s">
        <v>942</v>
      </c>
      <c r="E1335" s="11" t="s">
        <v>567</v>
      </c>
      <c r="F1335" s="11" t="s">
        <v>1599</v>
      </c>
    </row>
    <row r="1336" spans="1:6" ht="38.25">
      <c r="A1336" s="10" t="str">
        <f>HYPERLINK(SUBSTITUTE(T(hl_0),"{0}","900325739246489"),hn_0)</f>
        <v>ОВ</v>
      </c>
      <c r="B1336" s="9">
        <v>4887</v>
      </c>
      <c r="C1336" s="11" t="s">
        <v>943</v>
      </c>
      <c r="D1336" s="15" t="s">
        <v>640</v>
      </c>
      <c r="E1336" s="11" t="s">
        <v>16</v>
      </c>
      <c r="F1336" s="12" t="s">
        <v>1599</v>
      </c>
    </row>
    <row r="1337" spans="1:6" ht="51">
      <c r="A1337" s="10" t="str">
        <f>HYPERLINK(SUBSTITUTE(T(hl_0),"{0}","320331726921407"),hn_0)</f>
        <v>ОВ</v>
      </c>
      <c r="B1337" s="9">
        <v>4750</v>
      </c>
      <c r="C1337" s="11" t="s">
        <v>944</v>
      </c>
      <c r="D1337" s="15" t="s">
        <v>1462</v>
      </c>
      <c r="E1337" s="11" t="s">
        <v>23</v>
      </c>
      <c r="F1337" s="12" t="s">
        <v>1599</v>
      </c>
    </row>
    <row r="1338" spans="1:6" ht="76.5">
      <c r="A1338" s="10" t="str">
        <f>HYPERLINK(SUBSTITUTE(T(hl_0),"{0}","326327362570219"),hn_0)</f>
        <v>ОВ</v>
      </c>
      <c r="B1338" s="9">
        <v>4723</v>
      </c>
      <c r="C1338" s="11" t="s">
        <v>944</v>
      </c>
      <c r="D1338" s="15" t="s">
        <v>1463</v>
      </c>
      <c r="E1338" s="11" t="s">
        <v>622</v>
      </c>
      <c r="F1338" s="12" t="s">
        <v>1599</v>
      </c>
    </row>
    <row r="1339" spans="1:6" ht="25.5">
      <c r="A1339" s="10" t="str">
        <f>HYPERLINK(SUBSTITUTE(T(hl_0),"{0}","328332148272727"),hn_0)</f>
        <v>ОВ</v>
      </c>
      <c r="B1339" s="9">
        <v>5000</v>
      </c>
      <c r="C1339" s="11" t="s">
        <v>944</v>
      </c>
      <c r="D1339" s="15" t="s">
        <v>945</v>
      </c>
      <c r="E1339" s="11" t="s">
        <v>226</v>
      </c>
      <c r="F1339" s="11" t="s">
        <v>1599</v>
      </c>
    </row>
    <row r="1340" spans="1:6" ht="25.5">
      <c r="A1340" s="10" t="str">
        <f>HYPERLINK(SUBSTITUTE(T(hl_0),"{0}","330327645558345"),hn_0)</f>
        <v>ОВ</v>
      </c>
      <c r="B1340" s="9">
        <v>4723</v>
      </c>
      <c r="C1340" s="11" t="s">
        <v>946</v>
      </c>
      <c r="D1340" s="15" t="s">
        <v>1464</v>
      </c>
      <c r="E1340" s="11" t="s">
        <v>392</v>
      </c>
      <c r="F1340" s="11" t="s">
        <v>1599</v>
      </c>
    </row>
    <row r="1341" spans="1:6" ht="12.75">
      <c r="A1341" s="10" t="str">
        <f>HYPERLINK(SUBSTITUTE(T(hl_0),"{0}","900331625349531"),hn_0)</f>
        <v>ОВ</v>
      </c>
      <c r="B1341" s="9">
        <v>10000</v>
      </c>
      <c r="C1341" s="11" t="s">
        <v>947</v>
      </c>
      <c r="D1341" s="15" t="s">
        <v>948</v>
      </c>
      <c r="E1341" s="11" t="s">
        <v>16</v>
      </c>
      <c r="F1341" s="12" t="s">
        <v>1599</v>
      </c>
    </row>
    <row r="1342" spans="1:6" ht="12.75">
      <c r="A1342" s="10" t="str">
        <f>HYPERLINK(SUBSTITUTE(T(hl_0),"{0}","900331136552089"),hn_0)</f>
        <v>ОВ</v>
      </c>
      <c r="B1342" s="9">
        <v>6000</v>
      </c>
      <c r="C1342" s="11" t="s">
        <v>949</v>
      </c>
      <c r="D1342" s="15" t="s">
        <v>950</v>
      </c>
      <c r="E1342" s="11" t="s">
        <v>16</v>
      </c>
      <c r="F1342" s="12" t="s">
        <v>1599</v>
      </c>
    </row>
    <row r="1343" spans="1:6" ht="12.75">
      <c r="A1343" s="10" t="str">
        <f>HYPERLINK(SUBSTITUTE(T(hl_0),"{0}","319331819136931"),hn_0)</f>
        <v>ОВ</v>
      </c>
      <c r="B1343" s="9">
        <v>10000</v>
      </c>
      <c r="C1343" s="11" t="s">
        <v>951</v>
      </c>
      <c r="D1343" s="15" t="s">
        <v>1465</v>
      </c>
      <c r="E1343" s="11" t="s">
        <v>22</v>
      </c>
      <c r="F1343" s="11" t="s">
        <v>1599</v>
      </c>
    </row>
    <row r="1344" spans="1:6" ht="12.75">
      <c r="A1344" s="10" t="str">
        <f>HYPERLINK(SUBSTITUTE(T(hl_0),"{0}","319331819136925"),hn_0)</f>
        <v>ОВ</v>
      </c>
      <c r="B1344" s="9">
        <v>10000</v>
      </c>
      <c r="C1344" s="11" t="s">
        <v>951</v>
      </c>
      <c r="D1344" s="15" t="s">
        <v>1465</v>
      </c>
      <c r="E1344" s="11" t="s">
        <v>22</v>
      </c>
      <c r="F1344" s="11" t="s">
        <v>1599</v>
      </c>
    </row>
    <row r="1345" spans="1:6" ht="12.75">
      <c r="A1345" s="10" t="str">
        <f>HYPERLINK(SUBSTITUTE(T(hl_0),"{0}","319331819065454"),hn_0)</f>
        <v>ОВ</v>
      </c>
      <c r="B1345" s="9">
        <v>10000</v>
      </c>
      <c r="C1345" s="11" t="s">
        <v>951</v>
      </c>
      <c r="D1345" s="15" t="s">
        <v>1466</v>
      </c>
      <c r="E1345" s="11" t="s">
        <v>22</v>
      </c>
      <c r="F1345" s="11" t="s">
        <v>1599</v>
      </c>
    </row>
    <row r="1346" spans="1:6" ht="25.5">
      <c r="A1346" s="10" t="str">
        <f>HYPERLINK(SUBSTITUTE(T(hl_0),"{0}","320332224062433"),hn_0)</f>
        <v>ОВ</v>
      </c>
      <c r="B1346" s="9">
        <v>5500</v>
      </c>
      <c r="C1346" s="11" t="s">
        <v>951</v>
      </c>
      <c r="D1346" s="15" t="s">
        <v>1467</v>
      </c>
      <c r="E1346" s="11" t="s">
        <v>23</v>
      </c>
      <c r="F1346" s="12" t="s">
        <v>1599</v>
      </c>
    </row>
    <row r="1347" spans="1:6" ht="25.5">
      <c r="A1347" s="10" t="str">
        <f>HYPERLINK(SUBSTITUTE(T(hl_0),"{0}","320331647806883"),hn_0)</f>
        <v>ОВ</v>
      </c>
      <c r="B1347" s="9">
        <v>5340.16</v>
      </c>
      <c r="C1347" s="11" t="s">
        <v>951</v>
      </c>
      <c r="D1347" s="15" t="s">
        <v>1468</v>
      </c>
      <c r="E1347" s="11" t="s">
        <v>23</v>
      </c>
      <c r="F1347" s="12" t="s">
        <v>1599</v>
      </c>
    </row>
    <row r="1348" spans="1:6" ht="25.5">
      <c r="A1348" s="10" t="str">
        <f>HYPERLINK(SUBSTITUTE(T(hl_0),"{0}","320331647813263"),hn_0)</f>
        <v>ОВ</v>
      </c>
      <c r="B1348" s="9">
        <v>5340.16</v>
      </c>
      <c r="C1348" s="11" t="s">
        <v>951</v>
      </c>
      <c r="D1348" s="15" t="s">
        <v>1469</v>
      </c>
      <c r="E1348" s="11" t="s">
        <v>23</v>
      </c>
      <c r="F1348" s="12" t="s">
        <v>1599</v>
      </c>
    </row>
    <row r="1349" spans="1:6" ht="51">
      <c r="A1349" s="10" t="str">
        <f>HYPERLINK(SUBSTITUTE(T(hl_0),"{0}","330331508398308"),hn_0)</f>
        <v>ОВ</v>
      </c>
      <c r="B1349" s="9">
        <v>6000</v>
      </c>
      <c r="C1349" s="11" t="s">
        <v>951</v>
      </c>
      <c r="D1349" s="15" t="s">
        <v>1470</v>
      </c>
      <c r="E1349" s="11" t="s">
        <v>28</v>
      </c>
      <c r="F1349" s="11" t="s">
        <v>1599</v>
      </c>
    </row>
    <row r="1350" spans="1:6" ht="51">
      <c r="A1350" s="10" t="str">
        <f>HYPERLINK(SUBSTITUTE(T(hl_0),"{0}","330331508492863"),hn_0)</f>
        <v>ОВ</v>
      </c>
      <c r="B1350" s="9">
        <v>6000</v>
      </c>
      <c r="C1350" s="11" t="s">
        <v>951</v>
      </c>
      <c r="D1350" s="15" t="s">
        <v>1470</v>
      </c>
      <c r="E1350" s="11" t="s">
        <v>28</v>
      </c>
      <c r="F1350" s="11" t="s">
        <v>1599</v>
      </c>
    </row>
    <row r="1351" spans="1:6" ht="51">
      <c r="A1351" s="10" t="str">
        <f>HYPERLINK(SUBSTITUTE(T(hl_0),"{0}","330331508492871"),hn_0)</f>
        <v>ОВ</v>
      </c>
      <c r="B1351" s="9">
        <v>6000</v>
      </c>
      <c r="C1351" s="11" t="s">
        <v>951</v>
      </c>
      <c r="D1351" s="15" t="s">
        <v>1470</v>
      </c>
      <c r="E1351" s="11" t="s">
        <v>28</v>
      </c>
      <c r="F1351" s="11" t="s">
        <v>1599</v>
      </c>
    </row>
    <row r="1352" spans="1:6" ht="51">
      <c r="A1352" s="10" t="str">
        <f>HYPERLINK(SUBSTITUTE(T(hl_0),"{0}","330331508492883"),hn_0)</f>
        <v>ОВ</v>
      </c>
      <c r="B1352" s="9">
        <v>6000</v>
      </c>
      <c r="C1352" s="11" t="s">
        <v>951</v>
      </c>
      <c r="D1352" s="15" t="s">
        <v>1470</v>
      </c>
      <c r="E1352" s="11" t="s">
        <v>28</v>
      </c>
      <c r="F1352" s="11" t="s">
        <v>1599</v>
      </c>
    </row>
    <row r="1353" spans="1:6" ht="38.25">
      <c r="A1353" s="10" t="str">
        <f>HYPERLINK(SUBSTITUTE(T(hl_0),"{0}","330331675936352"),hn_0)</f>
        <v>ОВ</v>
      </c>
      <c r="B1353" s="9">
        <v>8000</v>
      </c>
      <c r="C1353" s="11" t="s">
        <v>951</v>
      </c>
      <c r="D1353" s="15" t="s">
        <v>1471</v>
      </c>
      <c r="E1353" s="11" t="s">
        <v>45</v>
      </c>
      <c r="F1353" s="11" t="s">
        <v>1599</v>
      </c>
    </row>
    <row r="1354" spans="1:6" ht="25.5">
      <c r="A1354" s="10" t="str">
        <f>HYPERLINK(SUBSTITUTE(T(hl_0),"{0}","332332220937802"),hn_0)</f>
        <v>ОВ</v>
      </c>
      <c r="B1354" s="9">
        <v>5700</v>
      </c>
      <c r="C1354" s="11" t="s">
        <v>951</v>
      </c>
      <c r="D1354" s="15" t="s">
        <v>952</v>
      </c>
      <c r="E1354" s="11" t="s">
        <v>14</v>
      </c>
      <c r="F1354" s="11" t="s">
        <v>1599</v>
      </c>
    </row>
    <row r="1355" spans="1:6" ht="12.75">
      <c r="A1355" s="10" t="str">
        <f>HYPERLINK(SUBSTITUTE(T(hl_0),"{0}","900332196630848"),hn_0)</f>
        <v>ОВ</v>
      </c>
      <c r="B1355" s="9">
        <v>6000</v>
      </c>
      <c r="C1355" s="11" t="s">
        <v>951</v>
      </c>
      <c r="D1355" s="15" t="s">
        <v>953</v>
      </c>
      <c r="E1355" s="11" t="s">
        <v>16</v>
      </c>
      <c r="F1355" s="12" t="s">
        <v>1599</v>
      </c>
    </row>
    <row r="1356" spans="1:6" ht="12.75">
      <c r="A1356" s="10" t="str">
        <f>HYPERLINK(SUBSTITUTE(T(hl_0),"{0}","900331367148771"),hn_0)</f>
        <v>ОВ</v>
      </c>
      <c r="B1356" s="9">
        <v>4790</v>
      </c>
      <c r="C1356" s="11" t="s">
        <v>951</v>
      </c>
      <c r="D1356" s="15" t="s">
        <v>954</v>
      </c>
      <c r="E1356" s="11" t="s">
        <v>872</v>
      </c>
      <c r="F1356" s="12" t="s">
        <v>1599</v>
      </c>
    </row>
    <row r="1357" spans="1:6" ht="12.75">
      <c r="A1357" s="10" t="str">
        <f>HYPERLINK(SUBSTITUTE(T(hl_0),"{0}","900332029016612"),hn_0)</f>
        <v>ОВ</v>
      </c>
      <c r="B1357" s="9">
        <v>4723</v>
      </c>
      <c r="C1357" s="11" t="s">
        <v>955</v>
      </c>
      <c r="D1357" s="15" t="s">
        <v>956</v>
      </c>
      <c r="E1357" s="11" t="s">
        <v>16</v>
      </c>
      <c r="F1357" s="12" t="s">
        <v>1599</v>
      </c>
    </row>
    <row r="1358" spans="1:6" ht="63.75">
      <c r="A1358" s="10" t="str">
        <f>HYPERLINK(SUBSTITUTE(T(hl_0),"{0}","330331365699885"),hn_0)</f>
        <v>ОВ</v>
      </c>
      <c r="B1358" s="9">
        <v>4723</v>
      </c>
      <c r="C1358" s="11" t="s">
        <v>957</v>
      </c>
      <c r="D1358" s="15" t="s">
        <v>1472</v>
      </c>
      <c r="E1358" s="11" t="s">
        <v>860</v>
      </c>
      <c r="F1358" s="11" t="s">
        <v>1599</v>
      </c>
    </row>
    <row r="1359" spans="1:6" ht="63.75">
      <c r="A1359" s="10" t="str">
        <f>HYPERLINK(SUBSTITUTE(T(hl_0),"{0}","330331365693674"),hn_0)</f>
        <v>ОВ</v>
      </c>
      <c r="B1359" s="9">
        <v>4723</v>
      </c>
      <c r="C1359" s="11" t="s">
        <v>957</v>
      </c>
      <c r="D1359" s="15" t="s">
        <v>1473</v>
      </c>
      <c r="E1359" s="11" t="s">
        <v>447</v>
      </c>
      <c r="F1359" s="11" t="s">
        <v>1599</v>
      </c>
    </row>
    <row r="1360" spans="1:6" ht="63.75">
      <c r="A1360" s="10" t="str">
        <f>HYPERLINK(SUBSTITUTE(T(hl_0),"{0}","330331365665578"),hn_0)</f>
        <v>ОВ</v>
      </c>
      <c r="B1360" s="9">
        <v>4723</v>
      </c>
      <c r="C1360" s="11" t="s">
        <v>957</v>
      </c>
      <c r="D1360" s="15" t="s">
        <v>1474</v>
      </c>
      <c r="E1360" s="11" t="s">
        <v>332</v>
      </c>
      <c r="F1360" s="11" t="s">
        <v>1599</v>
      </c>
    </row>
    <row r="1361" spans="1:6" ht="63.75">
      <c r="A1361" s="10" t="str">
        <f>HYPERLINK(SUBSTITUTE(T(hl_0),"{0}","330331365676741"),hn_0)</f>
        <v>ОВ</v>
      </c>
      <c r="B1361" s="9">
        <v>4723</v>
      </c>
      <c r="C1361" s="11" t="s">
        <v>957</v>
      </c>
      <c r="D1361" s="15" t="s">
        <v>1475</v>
      </c>
      <c r="E1361" s="11" t="s">
        <v>61</v>
      </c>
      <c r="F1361" s="11" t="s">
        <v>1599</v>
      </c>
    </row>
    <row r="1362" spans="1:6" ht="63.75">
      <c r="A1362" s="10" t="str">
        <f>HYPERLINK(SUBSTITUTE(T(hl_0),"{0}","330331365704759"),hn_0)</f>
        <v>ОВ</v>
      </c>
      <c r="B1362" s="9">
        <v>4723</v>
      </c>
      <c r="C1362" s="11" t="s">
        <v>957</v>
      </c>
      <c r="D1362" s="15" t="s">
        <v>1476</v>
      </c>
      <c r="E1362" s="11" t="s">
        <v>861</v>
      </c>
      <c r="F1362" s="11" t="s">
        <v>1599</v>
      </c>
    </row>
    <row r="1363" spans="1:6" ht="63.75">
      <c r="A1363" s="10" t="str">
        <f>HYPERLINK(SUBSTITUTE(T(hl_0),"{0}","330331365715435"),hn_0)</f>
        <v>ОВ</v>
      </c>
      <c r="B1363" s="9">
        <v>4723</v>
      </c>
      <c r="C1363" s="11" t="s">
        <v>957</v>
      </c>
      <c r="D1363" s="15" t="s">
        <v>1477</v>
      </c>
      <c r="E1363" s="11" t="s">
        <v>859</v>
      </c>
      <c r="F1363" s="11" t="s">
        <v>1599</v>
      </c>
    </row>
    <row r="1364" spans="1:6" ht="63.75">
      <c r="A1364" s="10" t="str">
        <f>HYPERLINK(SUBSTITUTE(T(hl_0),"{0}","330331365660334"),hn_0)</f>
        <v>ОВ</v>
      </c>
      <c r="B1364" s="9">
        <v>4723</v>
      </c>
      <c r="C1364" s="11" t="s">
        <v>957</v>
      </c>
      <c r="D1364" s="15" t="s">
        <v>1478</v>
      </c>
      <c r="E1364" s="11" t="s">
        <v>45</v>
      </c>
      <c r="F1364" s="11" t="s">
        <v>1599</v>
      </c>
    </row>
    <row r="1365" spans="1:6" ht="38.25">
      <c r="A1365" s="10" t="str">
        <f>HYPERLINK(SUBSTITUTE(T(hl_0),"{0}","332331871801195"),hn_0)</f>
        <v>ОВ</v>
      </c>
      <c r="B1365" s="9">
        <v>8000</v>
      </c>
      <c r="C1365" s="11" t="s">
        <v>957</v>
      </c>
      <c r="D1365" s="15" t="s">
        <v>958</v>
      </c>
      <c r="E1365" s="11" t="s">
        <v>396</v>
      </c>
      <c r="F1365" s="11" t="s">
        <v>1599</v>
      </c>
    </row>
    <row r="1366" spans="1:6" ht="12.75">
      <c r="A1366" s="10" t="str">
        <f>HYPERLINK(SUBSTITUTE(T(hl_0),"{0}","900331994543494"),hn_0)</f>
        <v>ОВ</v>
      </c>
      <c r="B1366" s="9">
        <v>4750</v>
      </c>
      <c r="C1366" s="11" t="s">
        <v>957</v>
      </c>
      <c r="D1366" s="15" t="s">
        <v>959</v>
      </c>
      <c r="E1366" s="11" t="s">
        <v>16</v>
      </c>
      <c r="F1366" s="12" t="s">
        <v>1599</v>
      </c>
    </row>
    <row r="1367" spans="1:6" ht="51">
      <c r="A1367" s="10" t="str">
        <f>HYPERLINK(SUBSTITUTE(T(hl_0),"{0}","900329445207046"),hn_0)</f>
        <v>ОВ</v>
      </c>
      <c r="B1367" s="9">
        <v>5000</v>
      </c>
      <c r="C1367" s="11" t="s">
        <v>957</v>
      </c>
      <c r="D1367" s="15" t="s">
        <v>960</v>
      </c>
      <c r="E1367" s="11" t="s">
        <v>961</v>
      </c>
      <c r="F1367" s="12" t="s">
        <v>1599</v>
      </c>
    </row>
    <row r="1368" spans="1:6" ht="25.5">
      <c r="A1368" s="10" t="str">
        <f>HYPERLINK(SUBSTITUTE(T(hl_0),"{0}","900331819713402"),hn_0)</f>
        <v>ОВ</v>
      </c>
      <c r="B1368" s="9">
        <v>6000</v>
      </c>
      <c r="C1368" s="11" t="s">
        <v>957</v>
      </c>
      <c r="D1368" s="15" t="s">
        <v>962</v>
      </c>
      <c r="E1368" s="11" t="s">
        <v>16</v>
      </c>
      <c r="F1368" s="12" t="s">
        <v>1599</v>
      </c>
    </row>
    <row r="1369" spans="1:6" ht="25.5">
      <c r="A1369" s="10" t="str">
        <f>HYPERLINK(SUBSTITUTE(T(hl_0),"{0}","325328271978521"),hn_0)</f>
        <v>ОВ</v>
      </c>
      <c r="B1369" s="9">
        <v>4762</v>
      </c>
      <c r="C1369" s="11" t="s">
        <v>963</v>
      </c>
      <c r="D1369" s="15" t="s">
        <v>964</v>
      </c>
      <c r="E1369" s="11" t="s">
        <v>36</v>
      </c>
      <c r="F1369" s="12" t="s">
        <v>1599</v>
      </c>
    </row>
    <row r="1370" spans="1:6" ht="12.75">
      <c r="A1370" s="10" t="str">
        <f>HYPERLINK(SUBSTITUTE(T(hl_0),"{0}","900332247900332"),hn_0)</f>
        <v>ОВ</v>
      </c>
      <c r="B1370" s="9">
        <v>7500</v>
      </c>
      <c r="C1370" s="11" t="s">
        <v>965</v>
      </c>
      <c r="D1370" s="15" t="s">
        <v>966</v>
      </c>
      <c r="E1370" s="11" t="s">
        <v>16</v>
      </c>
      <c r="F1370" s="12" t="s">
        <v>1599</v>
      </c>
    </row>
    <row r="1371" spans="1:6" ht="51">
      <c r="A1371" s="10" t="str">
        <f>HYPERLINK(SUBSTITUTE(T(hl_0),"{0}","330331873218878"),hn_0)</f>
        <v>ОВ</v>
      </c>
      <c r="B1371" s="9">
        <v>4723</v>
      </c>
      <c r="C1371" s="11" t="s">
        <v>967</v>
      </c>
      <c r="D1371" s="15" t="s">
        <v>1479</v>
      </c>
      <c r="E1371" s="11" t="s">
        <v>45</v>
      </c>
      <c r="F1371" s="11" t="s">
        <v>1599</v>
      </c>
    </row>
    <row r="1372" spans="1:6" ht="38.25">
      <c r="A1372" s="10" t="str">
        <f>HYPERLINK(SUBSTITUTE(T(hl_0),"{0}","330331873488697"),hn_0)</f>
        <v>ОВ</v>
      </c>
      <c r="B1372" s="9">
        <v>4723</v>
      </c>
      <c r="C1372" s="11" t="s">
        <v>968</v>
      </c>
      <c r="D1372" s="15" t="s">
        <v>1480</v>
      </c>
      <c r="E1372" s="11" t="s">
        <v>45</v>
      </c>
      <c r="F1372" s="11" t="s">
        <v>1599</v>
      </c>
    </row>
    <row r="1373" spans="1:6" ht="38.25">
      <c r="A1373" s="10" t="str">
        <f>HYPERLINK(SUBSTITUTE(T(hl_0),"{0}","332327619029161"),hn_0)</f>
        <v>ОВ</v>
      </c>
      <c r="B1373" s="9">
        <v>4723</v>
      </c>
      <c r="C1373" s="11" t="s">
        <v>969</v>
      </c>
      <c r="D1373" s="15" t="s">
        <v>1481</v>
      </c>
      <c r="E1373" s="11" t="s">
        <v>14</v>
      </c>
      <c r="F1373" s="11" t="s">
        <v>1599</v>
      </c>
    </row>
    <row r="1374" spans="1:6" ht="25.5">
      <c r="A1374" s="10" t="str">
        <f>HYPERLINK(SUBSTITUTE(T(hl_0),"{0}","325328272568698"),hn_0)</f>
        <v>ОВ</v>
      </c>
      <c r="B1374" s="9">
        <v>4723</v>
      </c>
      <c r="C1374" s="11" t="s">
        <v>970</v>
      </c>
      <c r="D1374" s="15" t="s">
        <v>971</v>
      </c>
      <c r="E1374" s="11" t="s">
        <v>36</v>
      </c>
      <c r="F1374" s="12" t="s">
        <v>1599</v>
      </c>
    </row>
    <row r="1375" spans="1:6" ht="63.75">
      <c r="A1375" s="10" t="str">
        <f>HYPERLINK(SUBSTITUTE(T(hl_0),"{0}","330331873439067"),hn_0)</f>
        <v>ОВ</v>
      </c>
      <c r="B1375" s="9">
        <v>4723</v>
      </c>
      <c r="C1375" s="11" t="s">
        <v>970</v>
      </c>
      <c r="D1375" s="15" t="s">
        <v>1482</v>
      </c>
      <c r="E1375" s="11" t="s">
        <v>45</v>
      </c>
      <c r="F1375" s="11" t="s">
        <v>1599</v>
      </c>
    </row>
    <row r="1376" spans="1:6" ht="38.25">
      <c r="A1376" s="10" t="str">
        <f>HYPERLINK(SUBSTITUTE(T(hl_0),"{0}","320330020704738"),hn_0)</f>
        <v>ОВ</v>
      </c>
      <c r="B1376" s="9">
        <v>11000</v>
      </c>
      <c r="C1376" s="11" t="s">
        <v>972</v>
      </c>
      <c r="D1376" s="15" t="s">
        <v>1483</v>
      </c>
      <c r="E1376" s="11" t="s">
        <v>23</v>
      </c>
      <c r="F1376" s="12" t="s">
        <v>1599</v>
      </c>
    </row>
    <row r="1377" spans="1:6" ht="51">
      <c r="A1377" s="10" t="str">
        <f>HYPERLINK(SUBSTITUTE(T(hl_0),"{0}","321327940924992"),hn_0)</f>
        <v>ОВ</v>
      </c>
      <c r="B1377" s="9">
        <v>7000</v>
      </c>
      <c r="C1377" s="11" t="s">
        <v>972</v>
      </c>
      <c r="D1377" s="15" t="s">
        <v>1484</v>
      </c>
      <c r="E1377" s="11" t="s">
        <v>64</v>
      </c>
      <c r="F1377" s="12" t="s">
        <v>1599</v>
      </c>
    </row>
    <row r="1378" spans="1:6" ht="25.5">
      <c r="A1378" s="10" t="str">
        <f>HYPERLINK(SUBSTITUTE(T(hl_0),"{0}","900326564816974"),hn_0)</f>
        <v>ОВ</v>
      </c>
      <c r="B1378" s="9">
        <v>6000</v>
      </c>
      <c r="C1378" s="11" t="s">
        <v>972</v>
      </c>
      <c r="D1378" s="15" t="s">
        <v>973</v>
      </c>
      <c r="E1378" s="11" t="s">
        <v>16</v>
      </c>
      <c r="F1378" s="12" t="s">
        <v>1599</v>
      </c>
    </row>
    <row r="1379" spans="1:6" ht="12.75">
      <c r="A1379" s="10" t="str">
        <f>HYPERLINK(SUBSTITUTE(T(hl_0),"{0}","900328426817947"),hn_0)</f>
        <v>ОВ</v>
      </c>
      <c r="B1379" s="9">
        <v>7000</v>
      </c>
      <c r="C1379" s="11" t="s">
        <v>972</v>
      </c>
      <c r="D1379" s="15" t="s">
        <v>974</v>
      </c>
      <c r="E1379" s="11" t="s">
        <v>16</v>
      </c>
      <c r="F1379" s="12" t="s">
        <v>1599</v>
      </c>
    </row>
    <row r="1380" spans="1:6" ht="25.5">
      <c r="A1380" s="10" t="str">
        <f>HYPERLINK(SUBSTITUTE(T(hl_0),"{0}","900326564817453"),hn_0)</f>
        <v>ОВ</v>
      </c>
      <c r="B1380" s="9">
        <v>6000</v>
      </c>
      <c r="C1380" s="11" t="s">
        <v>975</v>
      </c>
      <c r="D1380" s="15" t="s">
        <v>976</v>
      </c>
      <c r="E1380" s="11" t="s">
        <v>16</v>
      </c>
      <c r="F1380" s="12" t="s">
        <v>1599</v>
      </c>
    </row>
    <row r="1381" spans="1:6" ht="25.5">
      <c r="A1381" s="10" t="str">
        <f>HYPERLINK(SUBSTITUTE(T(hl_0),"{0}","321331967603677"),hn_0)</f>
        <v>ОВ</v>
      </c>
      <c r="B1381" s="9">
        <v>7020</v>
      </c>
      <c r="C1381" s="11" t="s">
        <v>977</v>
      </c>
      <c r="D1381" s="15" t="s">
        <v>1485</v>
      </c>
      <c r="E1381" s="11" t="s">
        <v>20</v>
      </c>
      <c r="F1381" s="12" t="s">
        <v>1599</v>
      </c>
    </row>
    <row r="1382" spans="1:6" ht="38.25">
      <c r="A1382" s="10" t="str">
        <f>HYPERLINK(SUBSTITUTE(T(hl_0),"{0}","330331845960406"),hn_0)</f>
        <v>ОВ</v>
      </c>
      <c r="B1382" s="9">
        <v>4723</v>
      </c>
      <c r="C1382" s="11" t="s">
        <v>978</v>
      </c>
      <c r="D1382" s="15" t="s">
        <v>1486</v>
      </c>
      <c r="E1382" s="11" t="s">
        <v>45</v>
      </c>
      <c r="F1382" s="11" t="s">
        <v>1599</v>
      </c>
    </row>
    <row r="1383" spans="1:6" ht="51">
      <c r="A1383" s="10" t="str">
        <f>HYPERLINK(SUBSTITUTE(T(hl_0),"{0}","330331966960198"),hn_0)</f>
        <v>ОВ</v>
      </c>
      <c r="B1383" s="9">
        <v>4723</v>
      </c>
      <c r="C1383" s="11" t="s">
        <v>979</v>
      </c>
      <c r="D1383" s="15" t="s">
        <v>1487</v>
      </c>
      <c r="E1383" s="11" t="s">
        <v>45</v>
      </c>
      <c r="F1383" s="11" t="s">
        <v>1599</v>
      </c>
    </row>
    <row r="1384" spans="1:6" ht="12.75">
      <c r="A1384" s="10" t="str">
        <f>HYPERLINK(SUBSTITUTE(T(hl_0),"{0}","319332224100294"),hn_0)</f>
        <v>ОВ</v>
      </c>
      <c r="B1384" s="9">
        <v>5500</v>
      </c>
      <c r="C1384" s="11" t="s">
        <v>980</v>
      </c>
      <c r="D1384" s="15" t="s">
        <v>1488</v>
      </c>
      <c r="E1384" s="11" t="s">
        <v>22</v>
      </c>
      <c r="F1384" s="11" t="s">
        <v>1599</v>
      </c>
    </row>
    <row r="1385" spans="1:6" ht="25.5">
      <c r="A1385" s="10" t="str">
        <f>HYPERLINK(SUBSTITUTE(T(hl_0),"{0}","900332197827644"),hn_0)</f>
        <v>ОВ</v>
      </c>
      <c r="B1385" s="9">
        <v>13000</v>
      </c>
      <c r="C1385" s="11" t="s">
        <v>980</v>
      </c>
      <c r="D1385" s="15" t="s">
        <v>981</v>
      </c>
      <c r="E1385" s="11" t="s">
        <v>912</v>
      </c>
      <c r="F1385" s="12" t="s">
        <v>1599</v>
      </c>
    </row>
    <row r="1386" spans="1:6" ht="63.75">
      <c r="A1386" s="10" t="str">
        <f>HYPERLINK(SUBSTITUTE(T(hl_0),"{0}","320331727114786"),hn_0)</f>
        <v>ОВ</v>
      </c>
      <c r="B1386" s="9">
        <v>5000</v>
      </c>
      <c r="C1386" s="11" t="s">
        <v>982</v>
      </c>
      <c r="D1386" s="15" t="s">
        <v>1489</v>
      </c>
      <c r="E1386" s="11" t="s">
        <v>23</v>
      </c>
      <c r="F1386" s="12" t="s">
        <v>1599</v>
      </c>
    </row>
    <row r="1387" spans="1:6" ht="63.75">
      <c r="A1387" s="10" t="str">
        <f>HYPERLINK(SUBSTITUTE(T(hl_0),"{0}","320331727121226"),hn_0)</f>
        <v>ОВ</v>
      </c>
      <c r="B1387" s="9">
        <v>5000</v>
      </c>
      <c r="C1387" s="11" t="s">
        <v>982</v>
      </c>
      <c r="D1387" s="16" t="s">
        <v>1489</v>
      </c>
      <c r="E1387" s="11" t="s">
        <v>23</v>
      </c>
      <c r="F1387" s="12" t="s">
        <v>1599</v>
      </c>
    </row>
    <row r="1388" spans="1:6" ht="63.75">
      <c r="A1388" s="10" t="str">
        <f>HYPERLINK(SUBSTITUTE(T(hl_0),"{0}","320331727107369"),hn_0)</f>
        <v>ОВ</v>
      </c>
      <c r="B1388" s="9">
        <v>5000</v>
      </c>
      <c r="C1388" s="11" t="s">
        <v>982</v>
      </c>
      <c r="D1388" s="15" t="s">
        <v>983</v>
      </c>
      <c r="E1388" s="11" t="s">
        <v>23</v>
      </c>
      <c r="F1388" s="12" t="s">
        <v>1599</v>
      </c>
    </row>
    <row r="1389" spans="1:6" ht="63.75">
      <c r="A1389" s="10" t="str">
        <f>HYPERLINK(SUBSTITUTE(T(hl_0),"{0}","320331727104707"),hn_0)</f>
        <v>ОВ</v>
      </c>
      <c r="B1389" s="9">
        <v>5000</v>
      </c>
      <c r="C1389" s="11" t="s">
        <v>982</v>
      </c>
      <c r="D1389" s="16" t="s">
        <v>1490</v>
      </c>
      <c r="E1389" s="11" t="s">
        <v>23</v>
      </c>
      <c r="F1389" s="12" t="s">
        <v>1599</v>
      </c>
    </row>
    <row r="1390" spans="1:6" ht="38.25">
      <c r="A1390" s="10" t="str">
        <f>HYPERLINK(SUBSTITUTE(T(hl_0),"{0}","321327621610857"),hn_0)</f>
        <v>ОВ</v>
      </c>
      <c r="B1390" s="9">
        <v>6984</v>
      </c>
      <c r="C1390" s="11" t="s">
        <v>982</v>
      </c>
      <c r="D1390" s="16" t="s">
        <v>1491</v>
      </c>
      <c r="E1390" s="11" t="s">
        <v>20</v>
      </c>
      <c r="F1390" s="12" t="s">
        <v>1599</v>
      </c>
    </row>
    <row r="1391" spans="1:6" ht="38.25">
      <c r="A1391" s="10" t="str">
        <f>HYPERLINK(SUBSTITUTE(T(hl_0),"{0}","321327621600538"),hn_0)</f>
        <v>ОВ</v>
      </c>
      <c r="B1391" s="9">
        <v>6984</v>
      </c>
      <c r="C1391" s="11" t="s">
        <v>982</v>
      </c>
      <c r="D1391" s="16" t="s">
        <v>1491</v>
      </c>
      <c r="E1391" s="11" t="s">
        <v>20</v>
      </c>
      <c r="F1391" s="12" t="s">
        <v>1599</v>
      </c>
    </row>
    <row r="1392" spans="1:6" ht="38.25">
      <c r="A1392" s="10" t="str">
        <f>HYPERLINK(SUBSTITUTE(T(hl_0),"{0}","321327621606993"),hn_0)</f>
        <v>ОВ</v>
      </c>
      <c r="B1392" s="9">
        <v>6984</v>
      </c>
      <c r="C1392" s="11" t="s">
        <v>982</v>
      </c>
      <c r="D1392" s="16" t="s">
        <v>1491</v>
      </c>
      <c r="E1392" s="11" t="s">
        <v>20</v>
      </c>
      <c r="F1392" s="12" t="s">
        <v>1599</v>
      </c>
    </row>
    <row r="1393" spans="1:6" ht="38.25">
      <c r="A1393" s="10" t="str">
        <f>HYPERLINK(SUBSTITUTE(T(hl_0),"{0}","321327621612174"),hn_0)</f>
        <v>ОВ</v>
      </c>
      <c r="B1393" s="9">
        <v>6984</v>
      </c>
      <c r="C1393" s="11" t="s">
        <v>982</v>
      </c>
      <c r="D1393" s="16" t="s">
        <v>1492</v>
      </c>
      <c r="E1393" s="11" t="s">
        <v>20</v>
      </c>
      <c r="F1393" s="12" t="s">
        <v>1599</v>
      </c>
    </row>
    <row r="1394" spans="1:6" ht="38.25">
      <c r="A1394" s="10" t="str">
        <f>HYPERLINK(SUBSTITUTE(T(hl_0),"{0}","324331561211910"),hn_0)</f>
        <v>ОВ</v>
      </c>
      <c r="B1394" s="9">
        <v>5000</v>
      </c>
      <c r="C1394" s="11" t="s">
        <v>982</v>
      </c>
      <c r="D1394" s="15" t="s">
        <v>984</v>
      </c>
      <c r="E1394" s="11" t="s">
        <v>332</v>
      </c>
      <c r="F1394" s="11" t="s">
        <v>1599</v>
      </c>
    </row>
    <row r="1395" spans="1:6" ht="25.5">
      <c r="A1395" s="10" t="str">
        <f>HYPERLINK(SUBSTITUTE(T(hl_0),"{0}","330328245089240"),hn_0)</f>
        <v>ОВ</v>
      </c>
      <c r="B1395" s="9">
        <v>6459</v>
      </c>
      <c r="C1395" s="11" t="s">
        <v>982</v>
      </c>
      <c r="D1395" s="16" t="s">
        <v>1493</v>
      </c>
      <c r="E1395" s="11" t="s">
        <v>45</v>
      </c>
      <c r="F1395" s="11" t="s">
        <v>1599</v>
      </c>
    </row>
    <row r="1396" spans="1:6" ht="12.75">
      <c r="A1396" s="10" t="str">
        <f>HYPERLINK(SUBSTITUTE(T(hl_0),"{0}","900326567752469"),hn_0)</f>
        <v>ОВ</v>
      </c>
      <c r="B1396" s="9">
        <v>5000</v>
      </c>
      <c r="C1396" s="11" t="s">
        <v>982</v>
      </c>
      <c r="D1396" s="15" t="s">
        <v>985</v>
      </c>
      <c r="E1396" s="11" t="s">
        <v>16</v>
      </c>
      <c r="F1396" s="12" t="s">
        <v>1599</v>
      </c>
    </row>
    <row r="1397" spans="1:6" ht="12.75">
      <c r="A1397" s="10" t="str">
        <f>HYPERLINK(SUBSTITUTE(T(hl_0),"{0}","900326476626833"),hn_0)</f>
        <v>ОВ</v>
      </c>
      <c r="B1397" s="9">
        <v>5000</v>
      </c>
      <c r="C1397" s="11" t="s">
        <v>982</v>
      </c>
      <c r="D1397" s="15" t="s">
        <v>985</v>
      </c>
      <c r="E1397" s="11" t="s">
        <v>16</v>
      </c>
      <c r="F1397" s="12" t="s">
        <v>1599</v>
      </c>
    </row>
    <row r="1398" spans="1:6" ht="25.5">
      <c r="A1398" s="10" t="str">
        <f>HYPERLINK(SUBSTITUTE(T(hl_0),"{0}","327331873121770"),hn_0)</f>
        <v>ОВ</v>
      </c>
      <c r="B1398" s="9">
        <v>8000</v>
      </c>
      <c r="C1398" s="11" t="s">
        <v>986</v>
      </c>
      <c r="D1398" s="15" t="s">
        <v>987</v>
      </c>
      <c r="E1398" s="11" t="s">
        <v>42</v>
      </c>
      <c r="F1398" s="12" t="s">
        <v>1599</v>
      </c>
    </row>
    <row r="1399" spans="1:6" ht="25.5">
      <c r="A1399" s="10" t="str">
        <f>HYPERLINK(SUBSTITUTE(T(hl_0),"{0}","319331999534484"),hn_0)</f>
        <v>ОВ</v>
      </c>
      <c r="B1399" s="9">
        <v>7930</v>
      </c>
      <c r="C1399" s="11" t="s">
        <v>988</v>
      </c>
      <c r="D1399" s="15" t="s">
        <v>989</v>
      </c>
      <c r="E1399" s="11" t="s">
        <v>22</v>
      </c>
      <c r="F1399" s="11" t="s">
        <v>1599</v>
      </c>
    </row>
    <row r="1400" spans="1:6" ht="25.5">
      <c r="A1400" s="10" t="str">
        <f>HYPERLINK(SUBSTITUTE(T(hl_0),"{0}","321329968787071"),hn_0)</f>
        <v>ОВ</v>
      </c>
      <c r="B1400" s="9">
        <v>9060</v>
      </c>
      <c r="C1400" s="11" t="s">
        <v>988</v>
      </c>
      <c r="D1400" s="16" t="s">
        <v>1494</v>
      </c>
      <c r="E1400" s="11" t="s">
        <v>20</v>
      </c>
      <c r="F1400" s="12" t="s">
        <v>1599</v>
      </c>
    </row>
    <row r="1401" spans="1:6" ht="25.5">
      <c r="A1401" s="10" t="str">
        <f>HYPERLINK(SUBSTITUTE(T(hl_0),"{0}","325332079310729"),hn_0)</f>
        <v>ОВ</v>
      </c>
      <c r="B1401" s="9">
        <v>7500</v>
      </c>
      <c r="C1401" s="11" t="s">
        <v>990</v>
      </c>
      <c r="D1401" s="15" t="s">
        <v>991</v>
      </c>
      <c r="E1401" s="11" t="s">
        <v>36</v>
      </c>
      <c r="F1401" s="12" t="s">
        <v>1599</v>
      </c>
    </row>
    <row r="1402" spans="1:6" ht="76.5">
      <c r="A1402" s="10" t="str">
        <f>HYPERLINK(SUBSTITUTE(T(hl_0),"{0}","900328476423148"),hn_0)</f>
        <v>ОВ</v>
      </c>
      <c r="B1402" s="9">
        <v>4855</v>
      </c>
      <c r="C1402" s="11" t="s">
        <v>990</v>
      </c>
      <c r="D1402" s="15" t="s">
        <v>992</v>
      </c>
      <c r="E1402" s="11" t="s">
        <v>696</v>
      </c>
      <c r="F1402" s="12" t="s">
        <v>1599</v>
      </c>
    </row>
    <row r="1403" spans="1:6" ht="63.75">
      <c r="A1403" s="10" t="str">
        <f>HYPERLINK(SUBSTITUTE(T(hl_0),"{0}","900328476017746"),hn_0)</f>
        <v>ОВ</v>
      </c>
      <c r="B1403" s="9">
        <v>4855</v>
      </c>
      <c r="C1403" s="11" t="s">
        <v>990</v>
      </c>
      <c r="D1403" s="15" t="s">
        <v>993</v>
      </c>
      <c r="E1403" s="11" t="s">
        <v>456</v>
      </c>
      <c r="F1403" s="12" t="s">
        <v>1599</v>
      </c>
    </row>
    <row r="1404" spans="1:6" ht="63.75">
      <c r="A1404" s="10" t="str">
        <f>HYPERLINK(SUBSTITUTE(T(hl_0),"{0}","900328476029890"),hn_0)</f>
        <v>ОВ</v>
      </c>
      <c r="B1404" s="9">
        <v>4855</v>
      </c>
      <c r="C1404" s="11" t="s">
        <v>990</v>
      </c>
      <c r="D1404" s="15" t="s">
        <v>993</v>
      </c>
      <c r="E1404" s="11" t="s">
        <v>456</v>
      </c>
      <c r="F1404" s="12" t="s">
        <v>1599</v>
      </c>
    </row>
    <row r="1405" spans="1:6" ht="76.5">
      <c r="A1405" s="10" t="str">
        <f>HYPERLINK(SUBSTITUTE(T(hl_0),"{0}","900328477088872"),hn_0)</f>
        <v>ОВ</v>
      </c>
      <c r="B1405" s="9">
        <v>4855</v>
      </c>
      <c r="C1405" s="11" t="s">
        <v>990</v>
      </c>
      <c r="D1405" s="15" t="s">
        <v>992</v>
      </c>
      <c r="E1405" s="11" t="s">
        <v>696</v>
      </c>
      <c r="F1405" s="12" t="s">
        <v>1599</v>
      </c>
    </row>
    <row r="1406" spans="1:6" ht="25.5">
      <c r="A1406" s="10" t="str">
        <f>HYPERLINK(SUBSTITUTE(T(hl_0),"{0}","900332173387891"),hn_0)</f>
        <v>ОВ</v>
      </c>
      <c r="B1406" s="9">
        <v>5000</v>
      </c>
      <c r="C1406" s="11" t="s">
        <v>994</v>
      </c>
      <c r="D1406" s="15" t="s">
        <v>995</v>
      </c>
      <c r="E1406" s="11" t="s">
        <v>16</v>
      </c>
      <c r="F1406" s="12" t="s">
        <v>1599</v>
      </c>
    </row>
    <row r="1407" spans="1:6" ht="25.5">
      <c r="A1407" s="10" t="str">
        <f>HYPERLINK(SUBSTITUTE(T(hl_0),"{0}","900327181933795"),hn_0)</f>
        <v>ОВ</v>
      </c>
      <c r="B1407" s="9">
        <v>5000</v>
      </c>
      <c r="C1407" s="11" t="s">
        <v>994</v>
      </c>
      <c r="D1407" s="16" t="s">
        <v>1367</v>
      </c>
      <c r="E1407" s="11" t="s">
        <v>16</v>
      </c>
      <c r="F1407" s="12" t="s">
        <v>1599</v>
      </c>
    </row>
    <row r="1408" spans="1:6" ht="25.5">
      <c r="A1408" s="10" t="str">
        <f>HYPERLINK(SUBSTITUTE(T(hl_0),"{0}","900330467226490"),hn_0)</f>
        <v>ОВ</v>
      </c>
      <c r="B1408" s="9">
        <v>5700</v>
      </c>
      <c r="C1408" s="11" t="s">
        <v>994</v>
      </c>
      <c r="D1408" s="15" t="s">
        <v>996</v>
      </c>
      <c r="E1408" s="11" t="s">
        <v>730</v>
      </c>
      <c r="F1408" s="12" t="s">
        <v>1599</v>
      </c>
    </row>
    <row r="1409" spans="1:6" ht="25.5">
      <c r="A1409" s="10" t="str">
        <f>HYPERLINK(SUBSTITUTE(T(hl_0),"{0}","900330467109069"),hn_0)</f>
        <v>ОВ</v>
      </c>
      <c r="B1409" s="9">
        <v>5700</v>
      </c>
      <c r="C1409" s="11" t="s">
        <v>994</v>
      </c>
      <c r="D1409" s="15" t="s">
        <v>996</v>
      </c>
      <c r="E1409" s="11" t="s">
        <v>730</v>
      </c>
      <c r="F1409" s="12" t="s">
        <v>1599</v>
      </c>
    </row>
    <row r="1410" spans="1:6" ht="12.75">
      <c r="A1410" s="10" t="str">
        <f>HYPERLINK(SUBSTITUTE(T(hl_0),"{0}","900332194458706"),hn_0)</f>
        <v>ОВ</v>
      </c>
      <c r="B1410" s="9">
        <v>5500</v>
      </c>
      <c r="C1410" s="11" t="s">
        <v>997</v>
      </c>
      <c r="D1410" s="15" t="s">
        <v>998</v>
      </c>
      <c r="E1410" s="11" t="s">
        <v>16</v>
      </c>
      <c r="F1410" s="12" t="s">
        <v>1599</v>
      </c>
    </row>
    <row r="1411" spans="1:6" ht="38.25">
      <c r="A1411" s="10" t="str">
        <f>HYPERLINK(SUBSTITUTE(T(hl_0),"{0}","900329090333719"),hn_0)</f>
        <v>ОВ</v>
      </c>
      <c r="B1411" s="9">
        <v>9000</v>
      </c>
      <c r="C1411" s="11" t="s">
        <v>997</v>
      </c>
      <c r="D1411" s="15" t="s">
        <v>999</v>
      </c>
      <c r="E1411" s="11" t="s">
        <v>16</v>
      </c>
      <c r="F1411" s="12" t="s">
        <v>1599</v>
      </c>
    </row>
    <row r="1412" spans="1:6" ht="38.25">
      <c r="A1412" s="10" t="str">
        <f>HYPERLINK(SUBSTITUTE(T(hl_0),"{0}","900329090460349"),hn_0)</f>
        <v>ОВ</v>
      </c>
      <c r="B1412" s="9">
        <v>7800</v>
      </c>
      <c r="C1412" s="11" t="s">
        <v>997</v>
      </c>
      <c r="D1412" s="15" t="s">
        <v>999</v>
      </c>
      <c r="E1412" s="11" t="s">
        <v>16</v>
      </c>
      <c r="F1412" s="12" t="s">
        <v>1599</v>
      </c>
    </row>
    <row r="1413" spans="1:6" ht="38.25">
      <c r="A1413" s="10" t="str">
        <f>HYPERLINK(SUBSTITUTE(T(hl_0),"{0}","900329090625890"),hn_0)</f>
        <v>ОВ</v>
      </c>
      <c r="B1413" s="9">
        <v>7200</v>
      </c>
      <c r="C1413" s="11" t="s">
        <v>997</v>
      </c>
      <c r="D1413" s="15" t="s">
        <v>999</v>
      </c>
      <c r="E1413" s="11" t="s">
        <v>16</v>
      </c>
      <c r="F1413" s="12" t="s">
        <v>1599</v>
      </c>
    </row>
    <row r="1414" spans="1:6" ht="51">
      <c r="A1414" s="10" t="str">
        <f>HYPERLINK(SUBSTITUTE(T(hl_0),"{0}","321328134583852"),hn_0)</f>
        <v>ОВ</v>
      </c>
      <c r="B1414" s="9">
        <v>6000</v>
      </c>
      <c r="C1414" s="11" t="s">
        <v>1000</v>
      </c>
      <c r="D1414" s="16" t="s">
        <v>1495</v>
      </c>
      <c r="E1414" s="11" t="s">
        <v>64</v>
      </c>
      <c r="F1414" s="12" t="s">
        <v>1599</v>
      </c>
    </row>
    <row r="1415" spans="1:6" ht="25.5">
      <c r="A1415" s="10" t="str">
        <f>HYPERLINK(SUBSTITUTE(T(hl_0),"{0}","900332194582622"),hn_0)</f>
        <v>ОВ</v>
      </c>
      <c r="B1415" s="9">
        <v>5000</v>
      </c>
      <c r="C1415" s="11" t="s">
        <v>1000</v>
      </c>
      <c r="D1415" s="15" t="s">
        <v>1001</v>
      </c>
      <c r="E1415" s="11" t="s">
        <v>1002</v>
      </c>
      <c r="F1415" s="12" t="s">
        <v>1599</v>
      </c>
    </row>
    <row r="1416" spans="1:6" ht="12.75">
      <c r="A1416" s="10" t="str">
        <f>HYPERLINK(SUBSTITUTE(T(hl_0),"{0}","319331390772483"),hn_0)</f>
        <v>ОВ</v>
      </c>
      <c r="B1416" s="9">
        <v>5000</v>
      </c>
      <c r="C1416" s="11" t="s">
        <v>1003</v>
      </c>
      <c r="D1416" s="16" t="s">
        <v>1496</v>
      </c>
      <c r="E1416" s="11" t="s">
        <v>22</v>
      </c>
      <c r="F1416" s="11" t="s">
        <v>1599</v>
      </c>
    </row>
    <row r="1417" spans="1:6" ht="51">
      <c r="A1417" s="10" t="str">
        <f>HYPERLINK(SUBSTITUTE(T(hl_0),"{0}","321327361327845"),hn_0)</f>
        <v>ОВ</v>
      </c>
      <c r="B1417" s="9">
        <v>5200</v>
      </c>
      <c r="C1417" s="11" t="s">
        <v>1003</v>
      </c>
      <c r="D1417" s="16" t="s">
        <v>1497</v>
      </c>
      <c r="E1417" s="11" t="s">
        <v>409</v>
      </c>
      <c r="F1417" s="12" t="s">
        <v>1599</v>
      </c>
    </row>
    <row r="1418" spans="1:6" ht="51">
      <c r="A1418" s="10" t="str">
        <f>HYPERLINK(SUBSTITUTE(T(hl_0),"{0}","326322486005499"),hn_0)</f>
        <v>ОВ</v>
      </c>
      <c r="B1418" s="9">
        <v>6000</v>
      </c>
      <c r="C1418" s="11" t="s">
        <v>1004</v>
      </c>
      <c r="D1418" s="16" t="s">
        <v>1498</v>
      </c>
      <c r="E1418" s="11" t="s">
        <v>622</v>
      </c>
      <c r="F1418" s="12" t="s">
        <v>1599</v>
      </c>
    </row>
    <row r="1419" spans="1:6" ht="102">
      <c r="A1419" s="10" t="str">
        <f>HYPERLINK(SUBSTITUTE(T(hl_0),"{0}","320329967154937"),hn_0)</f>
        <v>ОВ</v>
      </c>
      <c r="B1419" s="9">
        <v>4723</v>
      </c>
      <c r="C1419" s="11" t="s">
        <v>1005</v>
      </c>
      <c r="D1419" s="16" t="s">
        <v>1499</v>
      </c>
      <c r="E1419" s="11" t="s">
        <v>23</v>
      </c>
      <c r="F1419" s="12" t="s">
        <v>1599</v>
      </c>
    </row>
    <row r="1420" spans="1:6" ht="63.75">
      <c r="A1420" s="10" t="str">
        <f>HYPERLINK(SUBSTITUTE(T(hl_0),"{0}","320329967154494"),hn_0)</f>
        <v>ОВ</v>
      </c>
      <c r="B1420" s="9">
        <v>4723</v>
      </c>
      <c r="C1420" s="11" t="s">
        <v>1005</v>
      </c>
      <c r="D1420" s="16" t="s">
        <v>1500</v>
      </c>
      <c r="E1420" s="11" t="s">
        <v>23</v>
      </c>
      <c r="F1420" s="12" t="s">
        <v>1599</v>
      </c>
    </row>
    <row r="1421" spans="1:6" ht="25.5">
      <c r="A1421" s="10" t="str">
        <f>HYPERLINK(SUBSTITUTE(T(hl_0),"{0}","319331843520716"),hn_0)</f>
        <v>ОВ</v>
      </c>
      <c r="B1421" s="9">
        <v>6000</v>
      </c>
      <c r="C1421" s="11" t="s">
        <v>1006</v>
      </c>
      <c r="D1421" s="15" t="s">
        <v>1007</v>
      </c>
      <c r="E1421" s="11" t="s">
        <v>22</v>
      </c>
      <c r="F1421" s="11" t="s">
        <v>1599</v>
      </c>
    </row>
    <row r="1422" spans="1:6" ht="25.5">
      <c r="A1422" s="10" t="str">
        <f>HYPERLINK(SUBSTITUTE(T(hl_0),"{0}","319331843520661"),hn_0)</f>
        <v>ОВ</v>
      </c>
      <c r="B1422" s="9">
        <v>6000</v>
      </c>
      <c r="C1422" s="11" t="s">
        <v>1006</v>
      </c>
      <c r="D1422" s="15" t="s">
        <v>1007</v>
      </c>
      <c r="E1422" s="11" t="s">
        <v>22</v>
      </c>
      <c r="F1422" s="11" t="s">
        <v>1599</v>
      </c>
    </row>
    <row r="1423" spans="1:6" ht="25.5">
      <c r="A1423" s="10" t="str">
        <f>HYPERLINK(SUBSTITUTE(T(hl_0),"{0}","319331843520677"),hn_0)</f>
        <v>ОВ</v>
      </c>
      <c r="B1423" s="9">
        <v>6000</v>
      </c>
      <c r="C1423" s="11" t="s">
        <v>1006</v>
      </c>
      <c r="D1423" s="15" t="s">
        <v>1007</v>
      </c>
      <c r="E1423" s="11" t="s">
        <v>22</v>
      </c>
      <c r="F1423" s="11" t="s">
        <v>1599</v>
      </c>
    </row>
    <row r="1424" spans="1:6" ht="12.75">
      <c r="A1424" s="10" t="str">
        <f>HYPERLINK(SUBSTITUTE(T(hl_0),"{0}","327332053316449"),hn_0)</f>
        <v>ОВ</v>
      </c>
      <c r="B1424" s="9">
        <v>10000</v>
      </c>
      <c r="C1424" s="11" t="s">
        <v>1008</v>
      </c>
      <c r="D1424" s="15" t="s">
        <v>1009</v>
      </c>
      <c r="E1424" s="11" t="s">
        <v>16</v>
      </c>
      <c r="F1424" s="12" t="s">
        <v>1599</v>
      </c>
    </row>
    <row r="1425" spans="1:6" ht="12.75">
      <c r="A1425" s="10" t="str">
        <f>HYPERLINK(SUBSTITUTE(T(hl_0),"{0}","327332053313519"),hn_0)</f>
        <v>ОВ</v>
      </c>
      <c r="B1425" s="9">
        <v>10000</v>
      </c>
      <c r="C1425" s="11" t="s">
        <v>1008</v>
      </c>
      <c r="D1425" s="15" t="s">
        <v>1009</v>
      </c>
      <c r="E1425" s="11" t="s">
        <v>16</v>
      </c>
      <c r="F1425" s="12" t="s">
        <v>1599</v>
      </c>
    </row>
    <row r="1426" spans="1:6" ht="25.5">
      <c r="A1426" s="10" t="str">
        <f>HYPERLINK(SUBSTITUTE(T(hl_0),"{0}","334331819690313"),hn_0)</f>
        <v>ОВ</v>
      </c>
      <c r="B1426" s="9">
        <v>5500</v>
      </c>
      <c r="C1426" s="11" t="s">
        <v>1008</v>
      </c>
      <c r="D1426" s="16" t="s">
        <v>1501</v>
      </c>
      <c r="E1426" s="11" t="s">
        <v>261</v>
      </c>
      <c r="F1426" s="11" t="s">
        <v>1599</v>
      </c>
    </row>
    <row r="1427" spans="1:6" ht="12.75">
      <c r="A1427" s="10" t="str">
        <f>HYPERLINK(SUBSTITUTE(T(hl_0),"{0}","900331651143769"),hn_0)</f>
        <v>ОВ</v>
      </c>
      <c r="B1427" s="9">
        <v>7000</v>
      </c>
      <c r="C1427" s="11" t="s">
        <v>1008</v>
      </c>
      <c r="D1427" s="15" t="s">
        <v>1010</v>
      </c>
      <c r="E1427" s="11" t="s">
        <v>16</v>
      </c>
      <c r="F1427" s="12" t="s">
        <v>1599</v>
      </c>
    </row>
    <row r="1428" spans="1:6" ht="25.5">
      <c r="A1428" s="10" t="str">
        <f>HYPERLINK(SUBSTITUTE(T(hl_0),"{0}","900331651421831"),hn_0)</f>
        <v>ОВ</v>
      </c>
      <c r="B1428" s="9">
        <v>7500</v>
      </c>
      <c r="C1428" s="11" t="s">
        <v>1008</v>
      </c>
      <c r="D1428" s="15" t="s">
        <v>1011</v>
      </c>
      <c r="E1428" s="11" t="s">
        <v>16</v>
      </c>
      <c r="F1428" s="12" t="s">
        <v>1599</v>
      </c>
    </row>
    <row r="1429" spans="1:6" ht="25.5">
      <c r="A1429" s="10" t="str">
        <f>HYPERLINK(SUBSTITUTE(T(hl_0),"{0}","900327206689364"),hn_0)</f>
        <v>ОВ</v>
      </c>
      <c r="B1429" s="9">
        <v>6000</v>
      </c>
      <c r="C1429" s="11" t="s">
        <v>1008</v>
      </c>
      <c r="D1429" s="15" t="s">
        <v>1012</v>
      </c>
      <c r="E1429" s="11" t="s">
        <v>244</v>
      </c>
      <c r="F1429" s="12" t="s">
        <v>1599</v>
      </c>
    </row>
    <row r="1430" spans="1:6" ht="25.5">
      <c r="A1430" s="10" t="str">
        <f>HYPERLINK(SUBSTITUTE(T(hl_0),"{0}","900327206650502"),hn_0)</f>
        <v>ОВ</v>
      </c>
      <c r="B1430" s="9">
        <v>6000</v>
      </c>
      <c r="C1430" s="11" t="s">
        <v>1008</v>
      </c>
      <c r="D1430" s="15" t="s">
        <v>1012</v>
      </c>
      <c r="E1430" s="11" t="s">
        <v>16</v>
      </c>
      <c r="F1430" s="12" t="s">
        <v>1599</v>
      </c>
    </row>
    <row r="1431" spans="1:6" ht="25.5">
      <c r="A1431" s="10" t="str">
        <f>HYPERLINK(SUBSTITUTE(T(hl_0),"{0}","900327206684119"),hn_0)</f>
        <v>ОВ</v>
      </c>
      <c r="B1431" s="9">
        <v>6000</v>
      </c>
      <c r="C1431" s="11" t="s">
        <v>1008</v>
      </c>
      <c r="D1431" s="15" t="s">
        <v>1012</v>
      </c>
      <c r="E1431" s="11" t="s">
        <v>16</v>
      </c>
      <c r="F1431" s="12" t="s">
        <v>1599</v>
      </c>
    </row>
    <row r="1432" spans="1:6" ht="25.5">
      <c r="A1432" s="10" t="str">
        <f>HYPERLINK(SUBSTITUTE(T(hl_0),"{0}","900327206628532"),hn_0)</f>
        <v>ОВ</v>
      </c>
      <c r="B1432" s="9">
        <v>6000</v>
      </c>
      <c r="C1432" s="11" t="s">
        <v>1008</v>
      </c>
      <c r="D1432" s="15" t="s">
        <v>1012</v>
      </c>
      <c r="E1432" s="11" t="s">
        <v>244</v>
      </c>
      <c r="F1432" s="12" t="s">
        <v>1599</v>
      </c>
    </row>
    <row r="1433" spans="1:6" ht="38.25">
      <c r="A1433" s="10" t="str">
        <f>HYPERLINK(SUBSTITUTE(T(hl_0),"{0}","321327761958825"),hn_0)</f>
        <v>ОВ</v>
      </c>
      <c r="B1433" s="9">
        <v>7000</v>
      </c>
      <c r="C1433" s="11" t="s">
        <v>1013</v>
      </c>
      <c r="D1433" s="15" t="s">
        <v>1014</v>
      </c>
      <c r="E1433" s="11" t="s">
        <v>64</v>
      </c>
      <c r="F1433" s="12" t="s">
        <v>1599</v>
      </c>
    </row>
    <row r="1434" spans="1:6" ht="12.75">
      <c r="A1434" s="10" t="str">
        <f>HYPERLINK(SUBSTITUTE(T(hl_0),"{0}","322332026514092"),hn_0)</f>
        <v>ОВ</v>
      </c>
      <c r="B1434" s="9">
        <v>5500</v>
      </c>
      <c r="C1434" s="11" t="s">
        <v>1015</v>
      </c>
      <c r="D1434" s="15" t="s">
        <v>1016</v>
      </c>
      <c r="E1434" s="11" t="s">
        <v>379</v>
      </c>
      <c r="F1434" s="12" t="s">
        <v>1599</v>
      </c>
    </row>
    <row r="1435" spans="1:6" ht="38.25">
      <c r="A1435" s="10" t="str">
        <f>HYPERLINK(SUBSTITUTE(T(hl_0),"{0}","330331365829374"),hn_0)</f>
        <v>ОВ</v>
      </c>
      <c r="B1435" s="9">
        <v>4723</v>
      </c>
      <c r="C1435" s="11" t="s">
        <v>1015</v>
      </c>
      <c r="D1435" s="16" t="s">
        <v>1502</v>
      </c>
      <c r="E1435" s="11" t="s">
        <v>45</v>
      </c>
      <c r="F1435" s="11" t="s">
        <v>1599</v>
      </c>
    </row>
    <row r="1436" spans="1:6" ht="38.25">
      <c r="A1436" s="10" t="str">
        <f>HYPERLINK(SUBSTITUTE(T(hl_0),"{0}","900331849650702"),hn_0)</f>
        <v>ОВ</v>
      </c>
      <c r="B1436" s="9">
        <v>6000</v>
      </c>
      <c r="C1436" s="11" t="s">
        <v>1015</v>
      </c>
      <c r="D1436" s="15" t="s">
        <v>1017</v>
      </c>
      <c r="E1436" s="11" t="s">
        <v>16</v>
      </c>
      <c r="F1436" s="12" t="s">
        <v>1599</v>
      </c>
    </row>
    <row r="1437" spans="1:6" ht="12.75">
      <c r="A1437" s="10" t="str">
        <f>HYPERLINK(SUBSTITUTE(T(hl_0),"{0}","319330495344053"),hn_0)</f>
        <v>ОВ</v>
      </c>
      <c r="B1437" s="9">
        <v>4723</v>
      </c>
      <c r="C1437" s="11" t="s">
        <v>1018</v>
      </c>
      <c r="D1437" s="16" t="s">
        <v>1503</v>
      </c>
      <c r="E1437" s="11" t="s">
        <v>22</v>
      </c>
      <c r="F1437" s="11" t="s">
        <v>1599</v>
      </c>
    </row>
    <row r="1438" spans="1:6" ht="38.25">
      <c r="A1438" s="10" t="str">
        <f>HYPERLINK(SUBSTITUTE(T(hl_0),"{0}","900327939904984"),hn_0)</f>
        <v>ОВ</v>
      </c>
      <c r="B1438" s="9">
        <v>12000</v>
      </c>
      <c r="C1438" s="11" t="s">
        <v>1019</v>
      </c>
      <c r="D1438" s="15" t="s">
        <v>1020</v>
      </c>
      <c r="E1438" s="11" t="s">
        <v>16</v>
      </c>
      <c r="F1438" s="12" t="s">
        <v>1599</v>
      </c>
    </row>
    <row r="1439" spans="1:6" ht="25.5">
      <c r="A1439" s="10" t="str">
        <f>HYPERLINK(SUBSTITUTE(T(hl_0),"{0}","323331052641515"),hn_0)</f>
        <v>ОВ</v>
      </c>
      <c r="B1439" s="9">
        <v>4901</v>
      </c>
      <c r="C1439" s="11" t="s">
        <v>1021</v>
      </c>
      <c r="D1439" s="16" t="s">
        <v>1504</v>
      </c>
      <c r="E1439" s="11" t="s">
        <v>1022</v>
      </c>
      <c r="F1439" s="11" t="s">
        <v>1599</v>
      </c>
    </row>
    <row r="1440" spans="1:6" ht="38.25">
      <c r="A1440" s="10" t="str">
        <f>HYPERLINK(SUBSTITUTE(T(hl_0),"{0}","325331452744414"),hn_0)</f>
        <v>ОВ</v>
      </c>
      <c r="B1440" s="9">
        <v>4723</v>
      </c>
      <c r="C1440" s="11" t="s">
        <v>1023</v>
      </c>
      <c r="D1440" s="15" t="s">
        <v>1024</v>
      </c>
      <c r="E1440" s="11" t="s">
        <v>36</v>
      </c>
      <c r="F1440" s="12" t="s">
        <v>1599</v>
      </c>
    </row>
    <row r="1441" spans="1:6" ht="25.5">
      <c r="A1441" s="10" t="str">
        <f>HYPERLINK(SUBSTITUTE(T(hl_0),"{0}","320327918100620"),hn_0)</f>
        <v>ОВ</v>
      </c>
      <c r="B1441" s="9">
        <v>8000</v>
      </c>
      <c r="C1441" s="11" t="s">
        <v>1025</v>
      </c>
      <c r="D1441" s="15" t="s">
        <v>1026</v>
      </c>
      <c r="E1441" s="11" t="s">
        <v>23</v>
      </c>
      <c r="F1441" s="12" t="s">
        <v>1599</v>
      </c>
    </row>
    <row r="1442" spans="1:6" ht="63.75">
      <c r="A1442" s="10" t="str">
        <f>HYPERLINK(SUBSTITUTE(T(hl_0),"{0}","900328109860149"),hn_0)</f>
        <v>ОВ</v>
      </c>
      <c r="B1442" s="9">
        <v>12000</v>
      </c>
      <c r="C1442" s="11" t="s">
        <v>1025</v>
      </c>
      <c r="D1442" s="15" t="s">
        <v>1027</v>
      </c>
      <c r="E1442" s="11" t="s">
        <v>16</v>
      </c>
      <c r="F1442" s="12" t="s">
        <v>1599</v>
      </c>
    </row>
    <row r="1443" spans="1:6" ht="38.25">
      <c r="A1443" s="10" t="str">
        <f>HYPERLINK(SUBSTITUTE(T(hl_0),"{0}","322328612375384"),hn_0)</f>
        <v>ОВ</v>
      </c>
      <c r="B1443" s="9">
        <v>7400</v>
      </c>
      <c r="C1443" s="11" t="s">
        <v>1028</v>
      </c>
      <c r="D1443" s="16" t="s">
        <v>1505</v>
      </c>
      <c r="E1443" s="11" t="s">
        <v>37</v>
      </c>
      <c r="F1443" s="12" t="s">
        <v>1599</v>
      </c>
    </row>
    <row r="1444" spans="1:6" ht="12.75">
      <c r="A1444" s="10" t="str">
        <f>HYPERLINK(SUBSTITUTE(T(hl_0),"{0}","900331675777509"),hn_0)</f>
        <v>ОВ</v>
      </c>
      <c r="B1444" s="9">
        <v>13000</v>
      </c>
      <c r="C1444" s="11" t="s">
        <v>1028</v>
      </c>
      <c r="D1444" s="15" t="s">
        <v>1029</v>
      </c>
      <c r="E1444" s="11" t="s">
        <v>16</v>
      </c>
      <c r="F1444" s="12" t="s">
        <v>1599</v>
      </c>
    </row>
    <row r="1445" spans="1:6" ht="38.25">
      <c r="A1445" s="10" t="str">
        <f>HYPERLINK(SUBSTITUTE(T(hl_0),"{0}","900331558529792"),hn_0)</f>
        <v>ОВ</v>
      </c>
      <c r="B1445" s="9">
        <v>7500</v>
      </c>
      <c r="C1445" s="11" t="s">
        <v>1028</v>
      </c>
      <c r="D1445" s="15" t="s">
        <v>1030</v>
      </c>
      <c r="E1445" s="11" t="s">
        <v>16</v>
      </c>
      <c r="F1445" s="12" t="s">
        <v>1599</v>
      </c>
    </row>
    <row r="1446" spans="1:6" ht="12.75">
      <c r="A1446" s="10" t="str">
        <f>HYPERLINK(SUBSTITUTE(T(hl_0),"{0}","900331999250987"),hn_0)</f>
        <v>ОВ</v>
      </c>
      <c r="B1446" s="9">
        <v>10000</v>
      </c>
      <c r="C1446" s="11" t="s">
        <v>1028</v>
      </c>
      <c r="D1446" s="15" t="s">
        <v>1031</v>
      </c>
      <c r="E1446" s="11" t="s">
        <v>16</v>
      </c>
      <c r="F1446" s="12" t="s">
        <v>1599</v>
      </c>
    </row>
    <row r="1447" spans="1:6" ht="63.75">
      <c r="A1447" s="10" t="str">
        <f>HYPERLINK(SUBSTITUTE(T(hl_0),"{0}","321327315214069"),hn_0)</f>
        <v>ОВ</v>
      </c>
      <c r="B1447" s="9">
        <v>12000</v>
      </c>
      <c r="C1447" s="11" t="s">
        <v>1032</v>
      </c>
      <c r="D1447" s="15" t="s">
        <v>1033</v>
      </c>
      <c r="E1447" s="11" t="s">
        <v>64</v>
      </c>
      <c r="F1447" s="12" t="s">
        <v>1599</v>
      </c>
    </row>
    <row r="1448" spans="1:6" ht="51">
      <c r="A1448" s="10" t="str">
        <f>HYPERLINK(SUBSTITUTE(T(hl_0),"{0}","321332172240197"),hn_0)</f>
        <v>ОВ</v>
      </c>
      <c r="B1448" s="9">
        <v>6500</v>
      </c>
      <c r="C1448" s="11" t="s">
        <v>1034</v>
      </c>
      <c r="D1448" s="16" t="s">
        <v>1506</v>
      </c>
      <c r="E1448" s="11" t="s">
        <v>20</v>
      </c>
      <c r="F1448" s="12" t="s">
        <v>1599</v>
      </c>
    </row>
    <row r="1449" spans="1:6" ht="51">
      <c r="A1449" s="10" t="str">
        <f>HYPERLINK(SUBSTITUTE(T(hl_0),"{0}","319332145881531"),hn_0)</f>
        <v>ОВ</v>
      </c>
      <c r="B1449" s="9">
        <v>10000</v>
      </c>
      <c r="C1449" s="11" t="s">
        <v>1035</v>
      </c>
      <c r="D1449" s="16" t="s">
        <v>1507</v>
      </c>
      <c r="E1449" s="11" t="s">
        <v>22</v>
      </c>
      <c r="F1449" s="11" t="s">
        <v>1599</v>
      </c>
    </row>
    <row r="1450" spans="1:6" ht="51">
      <c r="A1450" s="10" t="str">
        <f>HYPERLINK(SUBSTITUTE(T(hl_0),"{0}","321332172351354"),hn_0)</f>
        <v>ОВ</v>
      </c>
      <c r="B1450" s="9">
        <v>6500</v>
      </c>
      <c r="C1450" s="11" t="s">
        <v>1035</v>
      </c>
      <c r="D1450" s="16" t="s">
        <v>1508</v>
      </c>
      <c r="E1450" s="11" t="s">
        <v>20</v>
      </c>
      <c r="F1450" s="12" t="s">
        <v>1599</v>
      </c>
    </row>
    <row r="1451" spans="1:6" ht="51">
      <c r="A1451" s="10" t="str">
        <f>HYPERLINK(SUBSTITUTE(T(hl_0),"{0}","321328134690045"),hn_0)</f>
        <v>ОВ</v>
      </c>
      <c r="B1451" s="9">
        <v>6000</v>
      </c>
      <c r="C1451" s="11" t="s">
        <v>1035</v>
      </c>
      <c r="D1451" s="16" t="s">
        <v>1509</v>
      </c>
      <c r="E1451" s="11" t="s">
        <v>64</v>
      </c>
      <c r="F1451" s="12" t="s">
        <v>1599</v>
      </c>
    </row>
    <row r="1452" spans="1:6" ht="25.5">
      <c r="A1452" s="10" t="str">
        <f>HYPERLINK(SUBSTITUTE(T(hl_0),"{0}","334330086566511"),hn_0)</f>
        <v>ОВ</v>
      </c>
      <c r="B1452" s="9">
        <v>5000</v>
      </c>
      <c r="C1452" s="11" t="s">
        <v>1036</v>
      </c>
      <c r="D1452" s="16" t="s">
        <v>1510</v>
      </c>
      <c r="E1452" s="11" t="s">
        <v>261</v>
      </c>
      <c r="F1452" s="11" t="s">
        <v>1599</v>
      </c>
    </row>
    <row r="1453" spans="1:6" ht="25.5">
      <c r="A1453" s="10" t="str">
        <f>HYPERLINK(SUBSTITUTE(T(hl_0),"{0}","900331625542094"),hn_0)</f>
        <v>ОВ</v>
      </c>
      <c r="B1453" s="9">
        <v>10000</v>
      </c>
      <c r="C1453" s="11" t="s">
        <v>1036</v>
      </c>
      <c r="D1453" s="15" t="s">
        <v>1037</v>
      </c>
      <c r="E1453" s="11" t="s">
        <v>16</v>
      </c>
      <c r="F1453" s="12" t="s">
        <v>1599</v>
      </c>
    </row>
    <row r="1454" spans="1:6" ht="25.5">
      <c r="A1454" s="10" t="str">
        <f>HYPERLINK(SUBSTITUTE(T(hl_0),"{0}","324331702882655"),hn_0)</f>
        <v>ОВ</v>
      </c>
      <c r="B1454" s="9">
        <v>5400</v>
      </c>
      <c r="C1454" s="11" t="s">
        <v>1038</v>
      </c>
      <c r="D1454" s="15" t="s">
        <v>1039</v>
      </c>
      <c r="E1454" s="11" t="s">
        <v>332</v>
      </c>
      <c r="F1454" s="11" t="s">
        <v>1599</v>
      </c>
    </row>
    <row r="1455" spans="1:6" ht="12.75">
      <c r="A1455" s="10" t="str">
        <f>HYPERLINK(SUBSTITUTE(T(hl_0),"{0}","900331559579361"),hn_0)</f>
        <v>ОВ</v>
      </c>
      <c r="B1455" s="9">
        <v>9000</v>
      </c>
      <c r="C1455" s="11" t="s">
        <v>1038</v>
      </c>
      <c r="D1455" s="15" t="s">
        <v>1040</v>
      </c>
      <c r="E1455" s="11" t="s">
        <v>244</v>
      </c>
      <c r="F1455" s="12" t="s">
        <v>1599</v>
      </c>
    </row>
    <row r="1456" spans="1:6" ht="38.25">
      <c r="A1456" s="10" t="str">
        <f>HYPERLINK(SUBSTITUTE(T(hl_0),"{0}","900332144072819"),hn_0)</f>
        <v>ОВ</v>
      </c>
      <c r="B1456" s="9">
        <v>10000</v>
      </c>
      <c r="C1456" s="11" t="s">
        <v>1038</v>
      </c>
      <c r="D1456" s="15" t="s">
        <v>1041</v>
      </c>
      <c r="E1456" s="11" t="s">
        <v>16</v>
      </c>
      <c r="F1456" s="12" t="s">
        <v>1599</v>
      </c>
    </row>
    <row r="1457" spans="1:6" ht="38.25">
      <c r="A1457" s="10" t="str">
        <f>HYPERLINK(SUBSTITUTE(T(hl_0),"{0}","900332145077930"),hn_0)</f>
        <v>ОВ</v>
      </c>
      <c r="B1457" s="9">
        <v>15000</v>
      </c>
      <c r="C1457" s="11" t="s">
        <v>1038</v>
      </c>
      <c r="D1457" s="15" t="s">
        <v>1042</v>
      </c>
      <c r="E1457" s="11" t="s">
        <v>36</v>
      </c>
      <c r="F1457" s="12" t="s">
        <v>1599</v>
      </c>
    </row>
    <row r="1458" spans="1:6" ht="25.5">
      <c r="A1458" s="10" t="str">
        <f>HYPERLINK(SUBSTITUTE(T(hl_0),"{0}","900326907027968"),hn_0)</f>
        <v>ОВ</v>
      </c>
      <c r="B1458" s="9">
        <v>8000</v>
      </c>
      <c r="C1458" s="11" t="s">
        <v>1038</v>
      </c>
      <c r="D1458" s="15" t="s">
        <v>1043</v>
      </c>
      <c r="E1458" s="11" t="s">
        <v>16</v>
      </c>
      <c r="F1458" s="12" t="s">
        <v>1599</v>
      </c>
    </row>
    <row r="1459" spans="1:6" ht="38.25">
      <c r="A1459" s="10" t="str">
        <f>HYPERLINK(SUBSTITUTE(T(hl_0),"{0}","900330087604195"),hn_0)</f>
        <v>ОВ</v>
      </c>
      <c r="B1459" s="9">
        <v>8000</v>
      </c>
      <c r="C1459" s="11" t="s">
        <v>1038</v>
      </c>
      <c r="D1459" s="15" t="s">
        <v>1044</v>
      </c>
      <c r="E1459" s="11" t="s">
        <v>194</v>
      </c>
      <c r="F1459" s="12" t="s">
        <v>1599</v>
      </c>
    </row>
    <row r="1460" spans="1:6" ht="38.25">
      <c r="A1460" s="10" t="str">
        <f>HYPERLINK(SUBSTITUTE(T(hl_0),"{0}","900330087607633"),hn_0)</f>
        <v>ОВ</v>
      </c>
      <c r="B1460" s="9">
        <v>8000</v>
      </c>
      <c r="C1460" s="11" t="s">
        <v>1038</v>
      </c>
      <c r="D1460" s="15" t="s">
        <v>1044</v>
      </c>
      <c r="E1460" s="11" t="s">
        <v>1045</v>
      </c>
      <c r="F1460" s="12" t="s">
        <v>1599</v>
      </c>
    </row>
    <row r="1461" spans="1:6" ht="38.25">
      <c r="A1461" s="10" t="str">
        <f>HYPERLINK(SUBSTITUTE(T(hl_0),"{0}","900330087609243"),hn_0)</f>
        <v>ОВ</v>
      </c>
      <c r="B1461" s="9">
        <v>8000</v>
      </c>
      <c r="C1461" s="11" t="s">
        <v>1038</v>
      </c>
      <c r="D1461" s="15" t="s">
        <v>1044</v>
      </c>
      <c r="E1461" s="11" t="s">
        <v>1046</v>
      </c>
      <c r="F1461" s="12" t="s">
        <v>1599</v>
      </c>
    </row>
    <row r="1462" spans="1:6" ht="38.25">
      <c r="A1462" s="10" t="str">
        <f>HYPERLINK(SUBSTITUTE(T(hl_0),"{0}","900330087584366"),hn_0)</f>
        <v>ОВ</v>
      </c>
      <c r="B1462" s="9">
        <v>8000</v>
      </c>
      <c r="C1462" s="11" t="s">
        <v>1038</v>
      </c>
      <c r="D1462" s="15" t="s">
        <v>1044</v>
      </c>
      <c r="E1462" s="11" t="s">
        <v>119</v>
      </c>
      <c r="F1462" s="12" t="s">
        <v>1599</v>
      </c>
    </row>
    <row r="1463" spans="1:6" ht="38.25">
      <c r="A1463" s="10" t="str">
        <f>HYPERLINK(SUBSTITUTE(T(hl_0),"{0}","900330087613461"),hn_0)</f>
        <v>ОВ</v>
      </c>
      <c r="B1463" s="9">
        <v>8000</v>
      </c>
      <c r="C1463" s="11" t="s">
        <v>1038</v>
      </c>
      <c r="D1463" s="15" t="s">
        <v>1044</v>
      </c>
      <c r="E1463" s="11" t="s">
        <v>116</v>
      </c>
      <c r="F1463" s="12" t="s">
        <v>1599</v>
      </c>
    </row>
    <row r="1464" spans="1:6" ht="12.75">
      <c r="A1464" s="10" t="str">
        <f>HYPERLINK(SUBSTITUTE(T(hl_0),"{0}","900331287993727"),hn_0)</f>
        <v>ОВ</v>
      </c>
      <c r="B1464" s="9">
        <v>10000</v>
      </c>
      <c r="C1464" s="11" t="s">
        <v>1038</v>
      </c>
      <c r="D1464" s="15" t="s">
        <v>1047</v>
      </c>
      <c r="E1464" s="11" t="s">
        <v>1045</v>
      </c>
      <c r="F1464" s="12" t="s">
        <v>1599</v>
      </c>
    </row>
    <row r="1465" spans="1:6" ht="38.25">
      <c r="A1465" s="10" t="str">
        <f>HYPERLINK(SUBSTITUTE(T(hl_0),"{0}","900330087627880"),hn_0)</f>
        <v>ОВ</v>
      </c>
      <c r="B1465" s="9">
        <v>8000</v>
      </c>
      <c r="C1465" s="11" t="s">
        <v>1038</v>
      </c>
      <c r="D1465" s="15" t="s">
        <v>1044</v>
      </c>
      <c r="E1465" s="11" t="s">
        <v>112</v>
      </c>
      <c r="F1465" s="12" t="s">
        <v>1599</v>
      </c>
    </row>
    <row r="1466" spans="1:6" ht="38.25">
      <c r="A1466" s="10" t="str">
        <f>HYPERLINK(SUBSTITUTE(T(hl_0),"{0}","900330087368930"),hn_0)</f>
        <v>ОВ</v>
      </c>
      <c r="B1466" s="9">
        <v>8000</v>
      </c>
      <c r="C1466" s="11" t="s">
        <v>1038</v>
      </c>
      <c r="D1466" s="15" t="s">
        <v>1044</v>
      </c>
      <c r="E1466" s="11" t="s">
        <v>730</v>
      </c>
      <c r="F1466" s="12" t="s">
        <v>1599</v>
      </c>
    </row>
    <row r="1467" spans="1:6" ht="51">
      <c r="A1467" s="10" t="str">
        <f>HYPERLINK(SUBSTITUTE(T(hl_0),"{0}","321331561215269"),hn_0)</f>
        <v>ОВ</v>
      </c>
      <c r="B1467" s="9">
        <v>8000</v>
      </c>
      <c r="C1467" s="11" t="s">
        <v>1048</v>
      </c>
      <c r="D1467" s="16" t="s">
        <v>1511</v>
      </c>
      <c r="E1467" s="11" t="s">
        <v>64</v>
      </c>
      <c r="F1467" s="12" t="s">
        <v>1599</v>
      </c>
    </row>
    <row r="1468" spans="1:6" ht="25.5">
      <c r="A1468" s="10" t="str">
        <f>HYPERLINK(SUBSTITUTE(T(hl_0),"{0}","321331702254543"),hn_0)</f>
        <v>ОВ</v>
      </c>
      <c r="B1468" s="9">
        <v>8000</v>
      </c>
      <c r="C1468" s="11" t="s">
        <v>1049</v>
      </c>
      <c r="D1468" s="16" t="s">
        <v>1512</v>
      </c>
      <c r="E1468" s="11" t="s">
        <v>20</v>
      </c>
      <c r="F1468" s="12" t="s">
        <v>1599</v>
      </c>
    </row>
    <row r="1469" spans="1:6" ht="25.5">
      <c r="A1469" s="10" t="str">
        <f>HYPERLINK(SUBSTITUTE(T(hl_0),"{0}","321331559114979"),hn_0)</f>
        <v>ОВ</v>
      </c>
      <c r="B1469" s="9">
        <v>9000</v>
      </c>
      <c r="C1469" s="11" t="s">
        <v>1049</v>
      </c>
      <c r="D1469" s="16" t="s">
        <v>1513</v>
      </c>
      <c r="E1469" s="11" t="s">
        <v>20</v>
      </c>
      <c r="F1469" s="12" t="s">
        <v>1599</v>
      </c>
    </row>
    <row r="1470" spans="1:6" ht="25.5">
      <c r="A1470" s="10" t="str">
        <f>HYPERLINK(SUBSTITUTE(T(hl_0),"{0}","325332169996864"),hn_0)</f>
        <v>ОВ</v>
      </c>
      <c r="B1470" s="9">
        <v>7000</v>
      </c>
      <c r="C1470" s="11" t="s">
        <v>1049</v>
      </c>
      <c r="D1470" s="16" t="s">
        <v>1514</v>
      </c>
      <c r="E1470" s="11" t="s">
        <v>36</v>
      </c>
      <c r="F1470" s="12" t="s">
        <v>1599</v>
      </c>
    </row>
    <row r="1471" spans="1:6" ht="38.25">
      <c r="A1471" s="10" t="str">
        <f>HYPERLINK(SUBSTITUTE(T(hl_0),"{0}","332331702192447"),hn_0)</f>
        <v>ОВ</v>
      </c>
      <c r="B1471" s="9">
        <v>7000</v>
      </c>
      <c r="C1471" s="11" t="s">
        <v>1049</v>
      </c>
      <c r="D1471" s="15" t="s">
        <v>1050</v>
      </c>
      <c r="E1471" s="11" t="s">
        <v>669</v>
      </c>
      <c r="F1471" s="11" t="s">
        <v>1599</v>
      </c>
    </row>
    <row r="1472" spans="1:6" ht="25.5">
      <c r="A1472" s="10" t="str">
        <f>HYPERLINK(SUBSTITUTE(T(hl_0),"{0}","900332194352396"),hn_0)</f>
        <v>ОВ</v>
      </c>
      <c r="B1472" s="9">
        <v>15000</v>
      </c>
      <c r="C1472" s="11" t="s">
        <v>1049</v>
      </c>
      <c r="D1472" s="15" t="s">
        <v>1051</v>
      </c>
      <c r="E1472" s="11" t="s">
        <v>16</v>
      </c>
      <c r="F1472" s="12" t="s">
        <v>1599</v>
      </c>
    </row>
    <row r="1473" spans="1:6" ht="12.75">
      <c r="A1473" s="10" t="str">
        <f>HYPERLINK(SUBSTITUTE(T(hl_0),"{0}","319331508445625"),hn_0)</f>
        <v>ОВ</v>
      </c>
      <c r="B1473" s="9">
        <v>8000</v>
      </c>
      <c r="C1473" s="11" t="s">
        <v>1052</v>
      </c>
      <c r="D1473" s="16" t="s">
        <v>1515</v>
      </c>
      <c r="E1473" s="11" t="s">
        <v>22</v>
      </c>
      <c r="F1473" s="11" t="s">
        <v>1599</v>
      </c>
    </row>
    <row r="1474" spans="1:6" ht="12.75">
      <c r="A1474" s="10" t="str">
        <f>HYPERLINK(SUBSTITUTE(T(hl_0),"{0}","324331971132919"),hn_0)</f>
        <v>ОВ</v>
      </c>
      <c r="B1474" s="9">
        <v>7000</v>
      </c>
      <c r="C1474" s="11" t="s">
        <v>1052</v>
      </c>
      <c r="D1474" s="15" t="s">
        <v>1053</v>
      </c>
      <c r="E1474" s="11" t="s">
        <v>332</v>
      </c>
      <c r="F1474" s="11" t="s">
        <v>1599</v>
      </c>
    </row>
    <row r="1475" spans="1:6" ht="38.25">
      <c r="A1475" s="10" t="str">
        <f>HYPERLINK(SUBSTITUTE(T(hl_0),"{0}","320332222214199"),hn_0)</f>
        <v>ОВ</v>
      </c>
      <c r="B1475" s="9">
        <v>10000</v>
      </c>
      <c r="C1475" s="11" t="s">
        <v>1054</v>
      </c>
      <c r="D1475" s="16" t="s">
        <v>1516</v>
      </c>
      <c r="E1475" s="11" t="s">
        <v>315</v>
      </c>
      <c r="F1475" s="12" t="s">
        <v>1599</v>
      </c>
    </row>
    <row r="1476" spans="1:6" ht="38.25">
      <c r="A1476" s="10" t="str">
        <f>HYPERLINK(SUBSTITUTE(T(hl_0),"{0}","320332222214205"),hn_0)</f>
        <v>ОВ</v>
      </c>
      <c r="B1476" s="9">
        <v>10000</v>
      </c>
      <c r="C1476" s="11" t="s">
        <v>1054</v>
      </c>
      <c r="D1476" s="16" t="s">
        <v>1516</v>
      </c>
      <c r="E1476" s="11" t="s">
        <v>315</v>
      </c>
      <c r="F1476" s="12" t="s">
        <v>1599</v>
      </c>
    </row>
    <row r="1477" spans="1:6" ht="38.25">
      <c r="A1477" s="10" t="str">
        <f>HYPERLINK(SUBSTITUTE(T(hl_0),"{0}","320332220632759"),hn_0)</f>
        <v>ОВ</v>
      </c>
      <c r="B1477" s="9">
        <v>10000</v>
      </c>
      <c r="C1477" s="11" t="s">
        <v>1054</v>
      </c>
      <c r="D1477" s="16" t="s">
        <v>1516</v>
      </c>
      <c r="E1477" s="11" t="s">
        <v>315</v>
      </c>
      <c r="F1477" s="12" t="s">
        <v>1599</v>
      </c>
    </row>
    <row r="1478" spans="1:6" ht="38.25">
      <c r="A1478" s="10" t="str">
        <f>HYPERLINK(SUBSTITUTE(T(hl_0),"{0}","322331532874830"),hn_0)</f>
        <v>ОВ</v>
      </c>
      <c r="B1478" s="9">
        <v>8000</v>
      </c>
      <c r="C1478" s="11" t="s">
        <v>1054</v>
      </c>
      <c r="D1478" s="15" t="s">
        <v>1055</v>
      </c>
      <c r="E1478" s="11" t="s">
        <v>1056</v>
      </c>
      <c r="F1478" s="12" t="s">
        <v>1599</v>
      </c>
    </row>
    <row r="1479" spans="1:6" ht="38.25">
      <c r="A1479" s="10" t="str">
        <f>HYPERLINK(SUBSTITUTE(T(hl_0),"{0}","326330495065100"),hn_0)</f>
        <v>ОВ</v>
      </c>
      <c r="B1479" s="9">
        <v>7500</v>
      </c>
      <c r="C1479" s="11" t="s">
        <v>1054</v>
      </c>
      <c r="D1479" s="16" t="s">
        <v>1517</v>
      </c>
      <c r="E1479" s="11" t="s">
        <v>258</v>
      </c>
      <c r="F1479" s="12" t="s">
        <v>1599</v>
      </c>
    </row>
    <row r="1480" spans="1:6" ht="38.25">
      <c r="A1480" s="10" t="str">
        <f>HYPERLINK(SUBSTITUTE(T(hl_0),"{0}","326327964033609"),hn_0)</f>
        <v>ОВ</v>
      </c>
      <c r="B1480" s="9">
        <v>7000</v>
      </c>
      <c r="C1480" s="11" t="s">
        <v>1054</v>
      </c>
      <c r="D1480" s="16" t="s">
        <v>1518</v>
      </c>
      <c r="E1480" s="11" t="s">
        <v>1057</v>
      </c>
      <c r="F1480" s="12" t="s">
        <v>1599</v>
      </c>
    </row>
    <row r="1481" spans="1:6" ht="38.25">
      <c r="A1481" s="10" t="str">
        <f>HYPERLINK(SUBSTITUTE(T(hl_0),"{0}","327331676180174"),hn_0)</f>
        <v>ОВ</v>
      </c>
      <c r="B1481" s="9">
        <v>6000</v>
      </c>
      <c r="C1481" s="11" t="s">
        <v>1054</v>
      </c>
      <c r="D1481" s="15" t="s">
        <v>1058</v>
      </c>
      <c r="E1481" s="11" t="s">
        <v>16</v>
      </c>
      <c r="F1481" s="12" t="s">
        <v>1599</v>
      </c>
    </row>
    <row r="1482" spans="1:6" ht="38.25">
      <c r="A1482" s="10" t="str">
        <f>HYPERLINK(SUBSTITUTE(T(hl_0),"{0}","327331676181266"),hn_0)</f>
        <v>ОВ</v>
      </c>
      <c r="B1482" s="9">
        <v>6000</v>
      </c>
      <c r="C1482" s="11" t="s">
        <v>1054</v>
      </c>
      <c r="D1482" s="15" t="s">
        <v>1058</v>
      </c>
      <c r="E1482" s="11" t="s">
        <v>16</v>
      </c>
      <c r="F1482" s="12" t="s">
        <v>1599</v>
      </c>
    </row>
    <row r="1483" spans="1:6" ht="38.25">
      <c r="A1483" s="10" t="str">
        <f>HYPERLINK(SUBSTITUTE(T(hl_0),"{0}","334330113612122"),hn_0)</f>
        <v>ОВ</v>
      </c>
      <c r="B1483" s="9">
        <v>6000</v>
      </c>
      <c r="C1483" s="11" t="s">
        <v>1054</v>
      </c>
      <c r="D1483" s="16" t="s">
        <v>1519</v>
      </c>
      <c r="E1483" s="11" t="s">
        <v>767</v>
      </c>
      <c r="F1483" s="11" t="s">
        <v>1599</v>
      </c>
    </row>
    <row r="1484" spans="1:6" ht="38.25">
      <c r="A1484" s="10" t="str">
        <f>HYPERLINK(SUBSTITUTE(T(hl_0),"{0}","334330113603941"),hn_0)</f>
        <v>ОВ</v>
      </c>
      <c r="B1484" s="9">
        <v>6000</v>
      </c>
      <c r="C1484" s="11" t="s">
        <v>1054</v>
      </c>
      <c r="D1484" s="16" t="s">
        <v>1519</v>
      </c>
      <c r="E1484" s="11" t="s">
        <v>767</v>
      </c>
      <c r="F1484" s="11" t="s">
        <v>1599</v>
      </c>
    </row>
    <row r="1485" spans="1:6" ht="25.5">
      <c r="A1485" s="10" t="str">
        <f>HYPERLINK(SUBSTITUTE(T(hl_0),"{0}","321325780329742"),hn_0)</f>
        <v>ОВ</v>
      </c>
      <c r="B1485" s="9">
        <v>7000</v>
      </c>
      <c r="C1485" s="11" t="s">
        <v>1059</v>
      </c>
      <c r="D1485" s="16" t="s">
        <v>1520</v>
      </c>
      <c r="E1485" s="11" t="s">
        <v>20</v>
      </c>
      <c r="F1485" s="12" t="s">
        <v>1599</v>
      </c>
    </row>
    <row r="1486" spans="1:6" ht="25.5">
      <c r="A1486" s="10" t="str">
        <f>HYPERLINK(SUBSTITUTE(T(hl_0),"{0}","900332194869977"),hn_0)</f>
        <v>ОВ</v>
      </c>
      <c r="B1486" s="9">
        <v>10000</v>
      </c>
      <c r="C1486" s="11" t="s">
        <v>1059</v>
      </c>
      <c r="D1486" s="15" t="s">
        <v>1060</v>
      </c>
      <c r="E1486" s="11" t="s">
        <v>16</v>
      </c>
      <c r="F1486" s="12" t="s">
        <v>1599</v>
      </c>
    </row>
    <row r="1487" spans="1:6" ht="38.25">
      <c r="A1487" s="10" t="str">
        <f>HYPERLINK(SUBSTITUTE(T(hl_0),"{0}","900325180957531"),hn_0)</f>
        <v>ОВ</v>
      </c>
      <c r="B1487" s="9">
        <v>5500</v>
      </c>
      <c r="C1487" s="11" t="s">
        <v>1059</v>
      </c>
      <c r="D1487" s="16" t="s">
        <v>1521</v>
      </c>
      <c r="E1487" s="11" t="s">
        <v>16</v>
      </c>
      <c r="F1487" s="12" t="s">
        <v>1599</v>
      </c>
    </row>
    <row r="1488" spans="1:6" ht="25.5">
      <c r="A1488" s="10" t="str">
        <f>HYPERLINK(SUBSTITUTE(T(hl_0),"{0}","900331790960233"),hn_0)</f>
        <v>ОВ</v>
      </c>
      <c r="B1488" s="9">
        <v>8000</v>
      </c>
      <c r="C1488" s="11" t="s">
        <v>1061</v>
      </c>
      <c r="D1488" s="15" t="s">
        <v>1062</v>
      </c>
      <c r="E1488" s="11" t="s">
        <v>1063</v>
      </c>
      <c r="F1488" s="12" t="s">
        <v>1599</v>
      </c>
    </row>
    <row r="1489" spans="1:6" ht="12.75">
      <c r="A1489" s="10" t="str">
        <f>HYPERLINK(SUBSTITUTE(T(hl_0),"{0}","900330662417134"),hn_0)</f>
        <v>ОВ</v>
      </c>
      <c r="B1489" s="9">
        <v>6000</v>
      </c>
      <c r="C1489" s="11" t="s">
        <v>1064</v>
      </c>
      <c r="D1489" s="15" t="s">
        <v>1065</v>
      </c>
      <c r="E1489" s="11" t="s">
        <v>16</v>
      </c>
      <c r="F1489" s="12" t="s">
        <v>1599</v>
      </c>
    </row>
    <row r="1490" spans="1:6" ht="12.75">
      <c r="A1490" s="10" t="str">
        <f>HYPERLINK(SUBSTITUTE(T(hl_0),"{0}","900328502130950"),hn_0)</f>
        <v>ОВ</v>
      </c>
      <c r="B1490" s="9">
        <v>10000</v>
      </c>
      <c r="C1490" s="11" t="s">
        <v>1066</v>
      </c>
      <c r="D1490" s="15" t="s">
        <v>1067</v>
      </c>
      <c r="E1490" s="11" t="s">
        <v>16</v>
      </c>
      <c r="F1490" s="12" t="s">
        <v>1599</v>
      </c>
    </row>
    <row r="1491" spans="1:6" ht="12.75">
      <c r="A1491" s="10" t="str">
        <f>HYPERLINK(SUBSTITUTE(T(hl_0),"{0}","900328502130958"),hn_0)</f>
        <v>ОВ</v>
      </c>
      <c r="B1491" s="9">
        <v>10000</v>
      </c>
      <c r="C1491" s="11" t="s">
        <v>1066</v>
      </c>
      <c r="D1491" s="15" t="s">
        <v>1067</v>
      </c>
      <c r="E1491" s="11" t="s">
        <v>16</v>
      </c>
      <c r="F1491" s="12" t="s">
        <v>1599</v>
      </c>
    </row>
    <row r="1492" spans="1:6" ht="12.75">
      <c r="A1492" s="10" t="str">
        <f>HYPERLINK(SUBSTITUTE(T(hl_0),"{0}","900328502030190"),hn_0)</f>
        <v>ОВ</v>
      </c>
      <c r="B1492" s="9">
        <v>10000</v>
      </c>
      <c r="C1492" s="11" t="s">
        <v>1066</v>
      </c>
      <c r="D1492" s="15" t="s">
        <v>1067</v>
      </c>
      <c r="E1492" s="11" t="s">
        <v>16</v>
      </c>
      <c r="F1492" s="12" t="s">
        <v>1599</v>
      </c>
    </row>
    <row r="1493" spans="1:6" ht="25.5">
      <c r="A1493" s="10" t="str">
        <f>HYPERLINK(SUBSTITUTE(T(hl_0),"{0}","319328185929101"),hn_0)</f>
        <v>ОВ</v>
      </c>
      <c r="B1493" s="9">
        <v>10000</v>
      </c>
      <c r="C1493" s="11" t="s">
        <v>1068</v>
      </c>
      <c r="D1493" s="15" t="s">
        <v>1069</v>
      </c>
      <c r="E1493" s="11" t="s">
        <v>1070</v>
      </c>
      <c r="F1493" s="11" t="s">
        <v>1599</v>
      </c>
    </row>
    <row r="1494" spans="1:6" ht="12.75">
      <c r="A1494" s="10" t="str">
        <f>HYPERLINK(SUBSTITUTE(T(hl_0),"{0}","322331534119426"),hn_0)</f>
        <v>ОВ</v>
      </c>
      <c r="B1494" s="9">
        <v>6000</v>
      </c>
      <c r="C1494" s="11" t="s">
        <v>1068</v>
      </c>
      <c r="D1494" s="15" t="s">
        <v>1071</v>
      </c>
      <c r="E1494" s="11" t="s">
        <v>37</v>
      </c>
      <c r="F1494" s="12" t="s">
        <v>1599</v>
      </c>
    </row>
    <row r="1495" spans="1:6" ht="25.5">
      <c r="A1495" s="10" t="str">
        <f>HYPERLINK(SUBSTITUTE(T(hl_0),"{0}","322331559370555"),hn_0)</f>
        <v>ОВ</v>
      </c>
      <c r="B1495" s="9">
        <v>6000</v>
      </c>
      <c r="C1495" s="11" t="s">
        <v>1068</v>
      </c>
      <c r="D1495" s="15" t="s">
        <v>1072</v>
      </c>
      <c r="E1495" s="11" t="s">
        <v>379</v>
      </c>
      <c r="F1495" s="12" t="s">
        <v>1599</v>
      </c>
    </row>
    <row r="1496" spans="1:6" ht="38.25">
      <c r="A1496" s="10" t="str">
        <f>HYPERLINK(SUBSTITUTE(T(hl_0),"{0}","325331875419052"),hn_0)</f>
        <v>ОВ</v>
      </c>
      <c r="B1496" s="9">
        <v>7500</v>
      </c>
      <c r="C1496" s="11" t="s">
        <v>1068</v>
      </c>
      <c r="D1496" s="16" t="s">
        <v>1303</v>
      </c>
      <c r="E1496" s="11" t="s">
        <v>16</v>
      </c>
      <c r="F1496" s="12" t="s">
        <v>1599</v>
      </c>
    </row>
    <row r="1497" spans="1:6" ht="25.5">
      <c r="A1497" s="10" t="str">
        <f>HYPERLINK(SUBSTITUTE(T(hl_0),"{0}","319331648283233"),hn_0)</f>
        <v>ОВ</v>
      </c>
      <c r="B1497" s="9">
        <v>8000</v>
      </c>
      <c r="C1497" s="11" t="s">
        <v>1073</v>
      </c>
      <c r="D1497" s="16" t="s">
        <v>1522</v>
      </c>
      <c r="E1497" s="11" t="s">
        <v>22</v>
      </c>
      <c r="F1497" s="11" t="s">
        <v>1599</v>
      </c>
    </row>
    <row r="1498" spans="1:6" ht="25.5">
      <c r="A1498" s="10" t="str">
        <f>HYPERLINK(SUBSTITUTE(T(hl_0),"{0}","319331648267160"),hn_0)</f>
        <v>ОВ</v>
      </c>
      <c r="B1498" s="9">
        <v>8000</v>
      </c>
      <c r="C1498" s="11" t="s">
        <v>1073</v>
      </c>
      <c r="D1498" s="16" t="s">
        <v>1522</v>
      </c>
      <c r="E1498" s="11" t="s">
        <v>22</v>
      </c>
      <c r="F1498" s="11" t="s">
        <v>1599</v>
      </c>
    </row>
    <row r="1499" spans="1:6" ht="12.75">
      <c r="A1499" s="10" t="str">
        <f>HYPERLINK(SUBSTITUTE(T(hl_0),"{0}","320332247168346"),hn_0)</f>
        <v>ОВ</v>
      </c>
      <c r="B1499" s="9">
        <v>4723</v>
      </c>
      <c r="C1499" s="11" t="s">
        <v>1074</v>
      </c>
      <c r="D1499" s="16" t="s">
        <v>1523</v>
      </c>
      <c r="E1499" s="11" t="s">
        <v>23</v>
      </c>
      <c r="F1499" s="12" t="s">
        <v>1599</v>
      </c>
    </row>
    <row r="1500" spans="1:6" ht="38.25">
      <c r="A1500" s="10" t="str">
        <f>HYPERLINK(SUBSTITUTE(T(hl_0),"{0}","320332170532397"),hn_0)</f>
        <v>ОВ</v>
      </c>
      <c r="B1500" s="9">
        <v>8000</v>
      </c>
      <c r="C1500" s="11" t="s">
        <v>1074</v>
      </c>
      <c r="D1500" s="16" t="s">
        <v>1524</v>
      </c>
      <c r="E1500" s="11" t="s">
        <v>23</v>
      </c>
      <c r="F1500" s="12" t="s">
        <v>1599</v>
      </c>
    </row>
    <row r="1501" spans="1:6" ht="12.75">
      <c r="A1501" s="10" t="str">
        <f>HYPERLINK(SUBSTITUTE(T(hl_0),"{0}","324331624543617"),hn_0)</f>
        <v>ОВ</v>
      </c>
      <c r="B1501" s="9">
        <v>5000</v>
      </c>
      <c r="C1501" s="11" t="s">
        <v>1074</v>
      </c>
      <c r="D1501" s="16" t="s">
        <v>1525</v>
      </c>
      <c r="E1501" s="11" t="s">
        <v>332</v>
      </c>
      <c r="F1501" s="11" t="s">
        <v>1599</v>
      </c>
    </row>
    <row r="1502" spans="1:6" ht="25.5">
      <c r="A1502" s="10" t="str">
        <f>HYPERLINK(SUBSTITUTE(T(hl_0),"{0}","324331624716432"),hn_0)</f>
        <v>ОВ</v>
      </c>
      <c r="B1502" s="9">
        <v>4959</v>
      </c>
      <c r="C1502" s="11" t="s">
        <v>1074</v>
      </c>
      <c r="D1502" s="15" t="s">
        <v>1075</v>
      </c>
      <c r="E1502" s="11" t="s">
        <v>332</v>
      </c>
      <c r="F1502" s="11" t="s">
        <v>1599</v>
      </c>
    </row>
    <row r="1503" spans="1:6" ht="51">
      <c r="A1503" s="10" t="str">
        <f>HYPERLINK(SUBSTITUTE(T(hl_0),"{0}","326331289536391"),hn_0)</f>
        <v>ОВ</v>
      </c>
      <c r="B1503" s="9">
        <v>6000</v>
      </c>
      <c r="C1503" s="11" t="s">
        <v>1074</v>
      </c>
      <c r="D1503" s="16" t="s">
        <v>1526</v>
      </c>
      <c r="E1503" s="11" t="s">
        <v>258</v>
      </c>
      <c r="F1503" s="12" t="s">
        <v>1599</v>
      </c>
    </row>
    <row r="1504" spans="1:6" ht="25.5">
      <c r="A1504" s="10" t="str">
        <f>HYPERLINK(SUBSTITUTE(T(hl_0),"{0}","329328428290394"),hn_0)</f>
        <v>ОВ</v>
      </c>
      <c r="B1504" s="9">
        <v>8000</v>
      </c>
      <c r="C1504" s="11" t="s">
        <v>1074</v>
      </c>
      <c r="D1504" s="15" t="s">
        <v>1076</v>
      </c>
      <c r="E1504" s="11" t="s">
        <v>44</v>
      </c>
      <c r="F1504" s="11" t="s">
        <v>1599</v>
      </c>
    </row>
    <row r="1505" spans="1:6" ht="38.25">
      <c r="A1505" s="10" t="str">
        <f>HYPERLINK(SUBSTITUTE(T(hl_0),"{0}","331331455524022"),hn_0)</f>
        <v>ОВ</v>
      </c>
      <c r="B1505" s="9">
        <v>5500</v>
      </c>
      <c r="C1505" s="11" t="s">
        <v>1074</v>
      </c>
      <c r="D1505" s="15" t="s">
        <v>1077</v>
      </c>
      <c r="E1505" s="11" t="s">
        <v>38</v>
      </c>
      <c r="F1505" s="11" t="s">
        <v>1599</v>
      </c>
    </row>
    <row r="1506" spans="1:6" ht="12.75">
      <c r="A1506" s="10" t="str">
        <f>HYPERLINK(SUBSTITUTE(T(hl_0),"{0}","331332315569822"),hn_0)</f>
        <v>ОВ</v>
      </c>
      <c r="B1506" s="9">
        <v>6000</v>
      </c>
      <c r="C1506" s="11" t="s">
        <v>1074</v>
      </c>
      <c r="D1506" s="15" t="s">
        <v>1078</v>
      </c>
      <c r="E1506" s="11" t="s">
        <v>38</v>
      </c>
      <c r="F1506" s="11" t="s">
        <v>1599</v>
      </c>
    </row>
    <row r="1507" spans="1:6" ht="38.25">
      <c r="A1507" s="10" t="str">
        <f>HYPERLINK(SUBSTITUTE(T(hl_0),"{0}","331331455473101"),hn_0)</f>
        <v>ОВ</v>
      </c>
      <c r="B1507" s="9">
        <v>5500</v>
      </c>
      <c r="C1507" s="11" t="s">
        <v>1074</v>
      </c>
      <c r="D1507" s="15" t="s">
        <v>1077</v>
      </c>
      <c r="E1507" s="11" t="s">
        <v>38</v>
      </c>
      <c r="F1507" s="11" t="s">
        <v>1599</v>
      </c>
    </row>
    <row r="1508" spans="1:6" ht="38.25">
      <c r="A1508" s="10" t="str">
        <f>HYPERLINK(SUBSTITUTE(T(hl_0),"{0}","900327690611657"),hn_0)</f>
        <v>ОВ</v>
      </c>
      <c r="B1508" s="9">
        <v>6000</v>
      </c>
      <c r="C1508" s="11" t="s">
        <v>1079</v>
      </c>
      <c r="D1508" s="16" t="s">
        <v>1527</v>
      </c>
      <c r="E1508" s="11" t="s">
        <v>16</v>
      </c>
      <c r="F1508" s="12" t="s">
        <v>1599</v>
      </c>
    </row>
    <row r="1509" spans="1:6" ht="38.25">
      <c r="A1509" s="10" t="str">
        <f>HYPERLINK(SUBSTITUTE(T(hl_0),"{0}","900327690613992"),hn_0)</f>
        <v>ОВ</v>
      </c>
      <c r="B1509" s="9">
        <v>6000</v>
      </c>
      <c r="C1509" s="11" t="s">
        <v>1079</v>
      </c>
      <c r="D1509" s="16" t="s">
        <v>1527</v>
      </c>
      <c r="E1509" s="11" t="s">
        <v>16</v>
      </c>
      <c r="F1509" s="12" t="s">
        <v>1599</v>
      </c>
    </row>
    <row r="1510" spans="1:6" ht="25.5">
      <c r="A1510" s="10" t="str">
        <f>HYPERLINK(SUBSTITUTE(T(hl_0),"{0}","900327316997670"),hn_0)</f>
        <v>ОВ</v>
      </c>
      <c r="B1510" s="9">
        <v>6000</v>
      </c>
      <c r="C1510" s="11" t="s">
        <v>1080</v>
      </c>
      <c r="D1510" s="15" t="s">
        <v>1081</v>
      </c>
      <c r="E1510" s="11" t="s">
        <v>16</v>
      </c>
      <c r="F1510" s="12" t="s">
        <v>1599</v>
      </c>
    </row>
    <row r="1511" spans="1:6" ht="12.75">
      <c r="A1511" s="10" t="str">
        <f>HYPERLINK(SUBSTITUTE(T(hl_0),"{0}","319331648356210"),hn_0)</f>
        <v>ОВ</v>
      </c>
      <c r="B1511" s="9">
        <v>6000</v>
      </c>
      <c r="C1511" s="11" t="s">
        <v>1082</v>
      </c>
      <c r="D1511" s="16" t="s">
        <v>1528</v>
      </c>
      <c r="E1511" s="11" t="s">
        <v>22</v>
      </c>
      <c r="F1511" s="11" t="s">
        <v>1599</v>
      </c>
    </row>
    <row r="1512" spans="1:6" ht="12.75">
      <c r="A1512" s="10" t="str">
        <f>HYPERLINK(SUBSTITUTE(T(hl_0),"{0}","319331648356216"),hn_0)</f>
        <v>ОВ</v>
      </c>
      <c r="B1512" s="9">
        <v>6000</v>
      </c>
      <c r="C1512" s="11" t="s">
        <v>1082</v>
      </c>
      <c r="D1512" s="16" t="s">
        <v>1528</v>
      </c>
      <c r="E1512" s="11" t="s">
        <v>22</v>
      </c>
      <c r="F1512" s="11" t="s">
        <v>1599</v>
      </c>
    </row>
    <row r="1513" spans="1:6" ht="12.75">
      <c r="A1513" s="10" t="str">
        <f>HYPERLINK(SUBSTITUTE(T(hl_0),"{0}","319331648356235"),hn_0)</f>
        <v>ОВ</v>
      </c>
      <c r="B1513" s="9">
        <v>6000</v>
      </c>
      <c r="C1513" s="11" t="s">
        <v>1082</v>
      </c>
      <c r="D1513" s="16" t="s">
        <v>1528</v>
      </c>
      <c r="E1513" s="11" t="s">
        <v>22</v>
      </c>
      <c r="F1513" s="11" t="s">
        <v>1599</v>
      </c>
    </row>
    <row r="1514" spans="1:6" ht="12.75">
      <c r="A1514" s="10" t="str">
        <f>HYPERLINK(SUBSTITUTE(T(hl_0),"{0}","319331648356243"),hn_0)</f>
        <v>ОВ</v>
      </c>
      <c r="B1514" s="9">
        <v>6000</v>
      </c>
      <c r="C1514" s="11" t="s">
        <v>1082</v>
      </c>
      <c r="D1514" s="16" t="s">
        <v>1528</v>
      </c>
      <c r="E1514" s="11" t="s">
        <v>22</v>
      </c>
      <c r="F1514" s="11" t="s">
        <v>1599</v>
      </c>
    </row>
    <row r="1515" spans="1:6" ht="25.5">
      <c r="A1515" s="10" t="str">
        <f>HYPERLINK(SUBSTITUTE(T(hl_0),"{0}","321331819521899"),hn_0)</f>
        <v>ОВ</v>
      </c>
      <c r="B1515" s="9">
        <v>9865</v>
      </c>
      <c r="C1515" s="11" t="s">
        <v>1082</v>
      </c>
      <c r="D1515" s="16" t="s">
        <v>1529</v>
      </c>
      <c r="E1515" s="11" t="s">
        <v>20</v>
      </c>
      <c r="F1515" s="12" t="s">
        <v>1599</v>
      </c>
    </row>
    <row r="1516" spans="1:6" ht="25.5">
      <c r="A1516" s="10" t="str">
        <f>HYPERLINK(SUBSTITUTE(T(hl_0),"{0}","321331819521909"),hn_0)</f>
        <v>ОВ</v>
      </c>
      <c r="B1516" s="9">
        <v>9865</v>
      </c>
      <c r="C1516" s="11" t="s">
        <v>1082</v>
      </c>
      <c r="D1516" s="16" t="s">
        <v>1529</v>
      </c>
      <c r="E1516" s="11" t="s">
        <v>20</v>
      </c>
      <c r="F1516" s="12" t="s">
        <v>1599</v>
      </c>
    </row>
    <row r="1517" spans="1:6" ht="25.5">
      <c r="A1517" s="10" t="str">
        <f>HYPERLINK(SUBSTITUTE(T(hl_0),"{0}","321331819521947"),hn_0)</f>
        <v>ОВ</v>
      </c>
      <c r="B1517" s="9">
        <v>9865</v>
      </c>
      <c r="C1517" s="11" t="s">
        <v>1082</v>
      </c>
      <c r="D1517" s="16" t="s">
        <v>1529</v>
      </c>
      <c r="E1517" s="11" t="s">
        <v>20</v>
      </c>
      <c r="F1517" s="12" t="s">
        <v>1599</v>
      </c>
    </row>
    <row r="1518" spans="1:6" ht="25.5">
      <c r="A1518" s="10" t="str">
        <f>HYPERLINK(SUBSTITUTE(T(hl_0),"{0}","321331819521886"),hn_0)</f>
        <v>ОВ</v>
      </c>
      <c r="B1518" s="9">
        <v>9865</v>
      </c>
      <c r="C1518" s="11" t="s">
        <v>1082</v>
      </c>
      <c r="D1518" s="16" t="s">
        <v>1529</v>
      </c>
      <c r="E1518" s="11" t="s">
        <v>20</v>
      </c>
      <c r="F1518" s="12" t="s">
        <v>1599</v>
      </c>
    </row>
    <row r="1519" spans="1:6" ht="25.5">
      <c r="A1519" s="10" t="str">
        <f>HYPERLINK(SUBSTITUTE(T(hl_0),"{0}","321331819521976"),hn_0)</f>
        <v>ОВ</v>
      </c>
      <c r="B1519" s="9">
        <v>9865</v>
      </c>
      <c r="C1519" s="11" t="s">
        <v>1082</v>
      </c>
      <c r="D1519" s="16" t="s">
        <v>1529</v>
      </c>
      <c r="E1519" s="11" t="s">
        <v>20</v>
      </c>
      <c r="F1519" s="12" t="s">
        <v>1599</v>
      </c>
    </row>
    <row r="1520" spans="1:6" ht="25.5">
      <c r="A1520" s="10" t="str">
        <f>HYPERLINK(SUBSTITUTE(T(hl_0),"{0}","321331819521985"),hn_0)</f>
        <v>ОВ</v>
      </c>
      <c r="B1520" s="9">
        <v>9865</v>
      </c>
      <c r="C1520" s="11" t="s">
        <v>1082</v>
      </c>
      <c r="D1520" s="16" t="s">
        <v>1529</v>
      </c>
      <c r="E1520" s="11" t="s">
        <v>20</v>
      </c>
      <c r="F1520" s="12" t="s">
        <v>1599</v>
      </c>
    </row>
    <row r="1521" spans="1:6" ht="25.5">
      <c r="A1521" s="10" t="str">
        <f>HYPERLINK(SUBSTITUTE(T(hl_0),"{0}","321331819521993"),hn_0)</f>
        <v>ОВ</v>
      </c>
      <c r="B1521" s="9">
        <v>9865</v>
      </c>
      <c r="C1521" s="11" t="s">
        <v>1082</v>
      </c>
      <c r="D1521" s="16" t="s">
        <v>1529</v>
      </c>
      <c r="E1521" s="11" t="s">
        <v>20</v>
      </c>
      <c r="F1521" s="12" t="s">
        <v>1599</v>
      </c>
    </row>
    <row r="1522" spans="1:6" ht="25.5">
      <c r="A1522" s="10" t="str">
        <f>HYPERLINK(SUBSTITUTE(T(hl_0),"{0}","321331819521964"),hn_0)</f>
        <v>ОВ</v>
      </c>
      <c r="B1522" s="9">
        <v>9865</v>
      </c>
      <c r="C1522" s="11" t="s">
        <v>1082</v>
      </c>
      <c r="D1522" s="16" t="s">
        <v>1529</v>
      </c>
      <c r="E1522" s="11" t="s">
        <v>20</v>
      </c>
      <c r="F1522" s="12" t="s">
        <v>1599</v>
      </c>
    </row>
    <row r="1523" spans="1:6" ht="25.5">
      <c r="A1523" s="10" t="str">
        <f>HYPERLINK(SUBSTITUTE(T(hl_0),"{0}","321331819055480"),hn_0)</f>
        <v>ОВ</v>
      </c>
      <c r="B1523" s="9">
        <v>9865</v>
      </c>
      <c r="C1523" s="11" t="s">
        <v>1082</v>
      </c>
      <c r="D1523" s="16" t="s">
        <v>1529</v>
      </c>
      <c r="E1523" s="11" t="s">
        <v>20</v>
      </c>
      <c r="F1523" s="12" t="s">
        <v>1599</v>
      </c>
    </row>
    <row r="1524" spans="1:6" ht="38.25">
      <c r="A1524" s="10" t="str">
        <f>HYPERLINK(SUBSTITUTE(T(hl_0),"{0}","321328185924078"),hn_0)</f>
        <v>ОВ</v>
      </c>
      <c r="B1524" s="9">
        <v>9865</v>
      </c>
      <c r="C1524" s="11" t="s">
        <v>1082</v>
      </c>
      <c r="D1524" s="16" t="s">
        <v>1530</v>
      </c>
      <c r="E1524" s="11" t="s">
        <v>20</v>
      </c>
      <c r="F1524" s="12" t="s">
        <v>1599</v>
      </c>
    </row>
    <row r="1525" spans="1:6" ht="12.75">
      <c r="A1525" s="10" t="str">
        <f>HYPERLINK(SUBSTITUTE(T(hl_0),"{0}","325331792377148"),hn_0)</f>
        <v>ОВ</v>
      </c>
      <c r="B1525" s="9">
        <v>9522.41</v>
      </c>
      <c r="C1525" s="11" t="s">
        <v>1082</v>
      </c>
      <c r="D1525" s="16" t="s">
        <v>1531</v>
      </c>
      <c r="E1525" s="11" t="s">
        <v>36</v>
      </c>
      <c r="F1525" s="12" t="s">
        <v>1599</v>
      </c>
    </row>
    <row r="1526" spans="1:6" ht="12.75">
      <c r="A1526" s="10" t="str">
        <f>HYPERLINK(SUBSTITUTE(T(hl_0),"{0}","325331792377158"),hn_0)</f>
        <v>ОВ</v>
      </c>
      <c r="B1526" s="9">
        <v>9522.41</v>
      </c>
      <c r="C1526" s="11" t="s">
        <v>1082</v>
      </c>
      <c r="D1526" s="16" t="s">
        <v>1531</v>
      </c>
      <c r="E1526" s="11" t="s">
        <v>36</v>
      </c>
      <c r="F1526" s="12" t="s">
        <v>1599</v>
      </c>
    </row>
    <row r="1527" spans="1:6" ht="12.75">
      <c r="A1527" s="10" t="str">
        <f>HYPERLINK(SUBSTITUTE(T(hl_0),"{0}","325331792378930"),hn_0)</f>
        <v>ОВ</v>
      </c>
      <c r="B1527" s="9">
        <v>9522.41</v>
      </c>
      <c r="C1527" s="11" t="s">
        <v>1082</v>
      </c>
      <c r="D1527" s="16" t="s">
        <v>1532</v>
      </c>
      <c r="E1527" s="11" t="s">
        <v>16</v>
      </c>
      <c r="F1527" s="12" t="s">
        <v>1599</v>
      </c>
    </row>
    <row r="1528" spans="1:6" ht="12.75">
      <c r="A1528" s="10" t="str">
        <f>HYPERLINK(SUBSTITUTE(T(hl_0),"{0}","325331792352134"),hn_0)</f>
        <v>ОВ</v>
      </c>
      <c r="B1528" s="9">
        <v>9522.41</v>
      </c>
      <c r="C1528" s="11" t="s">
        <v>1082</v>
      </c>
      <c r="D1528" s="16" t="s">
        <v>1531</v>
      </c>
      <c r="E1528" s="11" t="s">
        <v>36</v>
      </c>
      <c r="F1528" s="12" t="s">
        <v>1599</v>
      </c>
    </row>
    <row r="1529" spans="1:6" ht="12.75">
      <c r="A1529" s="10" t="str">
        <f>HYPERLINK(SUBSTITUTE(T(hl_0),"{0}","325331792468215"),hn_0)</f>
        <v>ОВ</v>
      </c>
      <c r="B1529" s="9">
        <v>9522.41</v>
      </c>
      <c r="C1529" s="11" t="s">
        <v>1082</v>
      </c>
      <c r="D1529" s="16" t="s">
        <v>1531</v>
      </c>
      <c r="E1529" s="11" t="s">
        <v>16</v>
      </c>
      <c r="F1529" s="12" t="s">
        <v>1599</v>
      </c>
    </row>
    <row r="1530" spans="1:6" ht="12.75">
      <c r="A1530" s="10" t="str">
        <f>HYPERLINK(SUBSTITUTE(T(hl_0),"{0}","325331792377131"),hn_0)</f>
        <v>ОВ</v>
      </c>
      <c r="B1530" s="9">
        <v>9522.41</v>
      </c>
      <c r="C1530" s="11" t="s">
        <v>1082</v>
      </c>
      <c r="D1530" s="16" t="s">
        <v>1532</v>
      </c>
      <c r="E1530" s="11" t="s">
        <v>36</v>
      </c>
      <c r="F1530" s="12" t="s">
        <v>1599</v>
      </c>
    </row>
    <row r="1531" spans="1:6" ht="12.75">
      <c r="A1531" s="10" t="str">
        <f>HYPERLINK(SUBSTITUTE(T(hl_0),"{0}","319330882371402"),hn_0)</f>
        <v>ОВ</v>
      </c>
      <c r="B1531" s="9">
        <v>5500</v>
      </c>
      <c r="C1531" s="11" t="s">
        <v>1083</v>
      </c>
      <c r="D1531" s="16" t="s">
        <v>1533</v>
      </c>
      <c r="E1531" s="11" t="s">
        <v>22</v>
      </c>
      <c r="F1531" s="11" t="s">
        <v>1599</v>
      </c>
    </row>
    <row r="1532" spans="1:6" ht="12.75">
      <c r="A1532" s="10" t="str">
        <f>HYPERLINK(SUBSTITUTE(T(hl_0),"{0}","319327465902519"),hn_0)</f>
        <v>ОВ</v>
      </c>
      <c r="B1532" s="9">
        <v>14000</v>
      </c>
      <c r="C1532" s="11" t="s">
        <v>1083</v>
      </c>
      <c r="D1532" s="16" t="s">
        <v>1534</v>
      </c>
      <c r="E1532" s="11" t="s">
        <v>22</v>
      </c>
      <c r="F1532" s="11" t="s">
        <v>1599</v>
      </c>
    </row>
    <row r="1533" spans="1:6" ht="12.75">
      <c r="A1533" s="10" t="str">
        <f>HYPERLINK(SUBSTITUTE(T(hl_0),"{0}","319327465902527"),hn_0)</f>
        <v>ОВ</v>
      </c>
      <c r="B1533" s="9">
        <v>14000</v>
      </c>
      <c r="C1533" s="11" t="s">
        <v>1083</v>
      </c>
      <c r="D1533" s="16" t="s">
        <v>1535</v>
      </c>
      <c r="E1533" s="11" t="s">
        <v>22</v>
      </c>
      <c r="F1533" s="11" t="s">
        <v>1599</v>
      </c>
    </row>
    <row r="1534" spans="1:6" ht="12.75">
      <c r="A1534" s="10" t="str">
        <f>HYPERLINK(SUBSTITUTE(T(hl_0),"{0}","319327465896132"),hn_0)</f>
        <v>ОВ</v>
      </c>
      <c r="B1534" s="9">
        <v>14000</v>
      </c>
      <c r="C1534" s="11" t="s">
        <v>1083</v>
      </c>
      <c r="D1534" s="16" t="s">
        <v>1534</v>
      </c>
      <c r="E1534" s="11" t="s">
        <v>22</v>
      </c>
      <c r="F1534" s="11" t="s">
        <v>1599</v>
      </c>
    </row>
    <row r="1535" spans="1:6" ht="25.5">
      <c r="A1535" s="10" t="str">
        <f>HYPERLINK(SUBSTITUTE(T(hl_0),"{0}","321328186000704"),hn_0)</f>
        <v>ОВ</v>
      </c>
      <c r="B1535" s="9">
        <v>6096</v>
      </c>
      <c r="C1535" s="11" t="s">
        <v>1083</v>
      </c>
      <c r="D1535" s="16" t="s">
        <v>1536</v>
      </c>
      <c r="E1535" s="11" t="s">
        <v>20</v>
      </c>
      <c r="F1535" s="12" t="s">
        <v>1599</v>
      </c>
    </row>
    <row r="1536" spans="1:6" ht="25.5">
      <c r="A1536" s="10" t="str">
        <f>HYPERLINK(SUBSTITUTE(T(hl_0),"{0}","321331702656198"),hn_0)</f>
        <v>ОВ</v>
      </c>
      <c r="B1536" s="9">
        <v>8000</v>
      </c>
      <c r="C1536" s="11" t="s">
        <v>1083</v>
      </c>
      <c r="D1536" s="16" t="s">
        <v>1537</v>
      </c>
      <c r="E1536" s="11" t="s">
        <v>20</v>
      </c>
      <c r="F1536" s="12" t="s">
        <v>1599</v>
      </c>
    </row>
    <row r="1537" spans="1:6" ht="38.25">
      <c r="A1537" s="10" t="str">
        <f>HYPERLINK(SUBSTITUTE(T(hl_0),"{0}","321330360913189"),hn_0)</f>
        <v>ОВ</v>
      </c>
      <c r="B1537" s="9">
        <v>5060</v>
      </c>
      <c r="C1537" s="11" t="s">
        <v>1083</v>
      </c>
      <c r="D1537" s="16" t="s">
        <v>1538</v>
      </c>
      <c r="E1537" s="11" t="s">
        <v>20</v>
      </c>
      <c r="F1537" s="12" t="s">
        <v>1599</v>
      </c>
    </row>
    <row r="1538" spans="1:6" ht="25.5">
      <c r="A1538" s="10" t="str">
        <f>HYPERLINK(SUBSTITUTE(T(hl_0),"{0}","321327962457345"),hn_0)</f>
        <v>ОВ</v>
      </c>
      <c r="B1538" s="9">
        <v>9000</v>
      </c>
      <c r="C1538" s="11" t="s">
        <v>1083</v>
      </c>
      <c r="D1538" s="16" t="s">
        <v>1539</v>
      </c>
      <c r="E1538" s="11" t="s">
        <v>20</v>
      </c>
      <c r="F1538" s="12" t="s">
        <v>1599</v>
      </c>
    </row>
    <row r="1539" spans="1:6" ht="25.5">
      <c r="A1539" s="10" t="str">
        <f>HYPERLINK(SUBSTITUTE(T(hl_0),"{0}","321327962537440"),hn_0)</f>
        <v>ОВ</v>
      </c>
      <c r="B1539" s="9">
        <v>9000</v>
      </c>
      <c r="C1539" s="11" t="s">
        <v>1083</v>
      </c>
      <c r="D1539" s="16" t="s">
        <v>1539</v>
      </c>
      <c r="E1539" s="11" t="s">
        <v>20</v>
      </c>
      <c r="F1539" s="12" t="s">
        <v>1599</v>
      </c>
    </row>
    <row r="1540" spans="1:6" ht="51">
      <c r="A1540" s="10" t="str">
        <f>HYPERLINK(SUBSTITUTE(T(hl_0),"{0}","325329653592974"),hn_0)</f>
        <v>ОВ</v>
      </c>
      <c r="B1540" s="9">
        <v>8000</v>
      </c>
      <c r="C1540" s="11" t="s">
        <v>1083</v>
      </c>
      <c r="D1540" s="16" t="s">
        <v>1540</v>
      </c>
      <c r="E1540" s="11" t="s">
        <v>36</v>
      </c>
      <c r="F1540" s="12" t="s">
        <v>1599</v>
      </c>
    </row>
    <row r="1541" spans="1:6" ht="25.5">
      <c r="A1541" s="10" t="str">
        <f>HYPERLINK(SUBSTITUTE(T(hl_0),"{0}","900327184125712"),hn_0)</f>
        <v>ОВ</v>
      </c>
      <c r="B1541" s="9">
        <v>10800</v>
      </c>
      <c r="C1541" s="11" t="s">
        <v>1083</v>
      </c>
      <c r="D1541" s="15" t="s">
        <v>1084</v>
      </c>
      <c r="E1541" s="11" t="s">
        <v>16</v>
      </c>
      <c r="F1541" s="12" t="s">
        <v>1599</v>
      </c>
    </row>
    <row r="1542" spans="1:6" ht="25.5">
      <c r="A1542" s="10" t="str">
        <f>HYPERLINK(SUBSTITUTE(T(hl_0),"{0}","900327184125704"),hn_0)</f>
        <v>ОВ</v>
      </c>
      <c r="B1542" s="9">
        <v>10800</v>
      </c>
      <c r="C1542" s="11" t="s">
        <v>1083</v>
      </c>
      <c r="D1542" s="15" t="s">
        <v>1084</v>
      </c>
      <c r="E1542" s="11" t="s">
        <v>16</v>
      </c>
      <c r="F1542" s="12" t="s">
        <v>1599</v>
      </c>
    </row>
    <row r="1543" spans="1:6" ht="51">
      <c r="A1543" s="10" t="str">
        <f>HYPERLINK(SUBSTITUTE(T(hl_0),"{0}","330331507583486"),hn_0)</f>
        <v>ОВ</v>
      </c>
      <c r="B1543" s="9">
        <v>7000</v>
      </c>
      <c r="C1543" s="11" t="s">
        <v>1085</v>
      </c>
      <c r="D1543" s="16" t="s">
        <v>1541</v>
      </c>
      <c r="E1543" s="11" t="s">
        <v>28</v>
      </c>
      <c r="F1543" s="11" t="s">
        <v>1599</v>
      </c>
    </row>
    <row r="1544" spans="1:6" ht="51">
      <c r="A1544" s="10" t="str">
        <f>HYPERLINK(SUBSTITUTE(T(hl_0),"{0}","330331507221939"),hn_0)</f>
        <v>ОВ</v>
      </c>
      <c r="B1544" s="9">
        <v>7000</v>
      </c>
      <c r="C1544" s="11" t="s">
        <v>1085</v>
      </c>
      <c r="D1544" s="16" t="s">
        <v>1541</v>
      </c>
      <c r="E1544" s="11" t="s">
        <v>28</v>
      </c>
      <c r="F1544" s="11" t="s">
        <v>1599</v>
      </c>
    </row>
    <row r="1545" spans="1:6" ht="51">
      <c r="A1545" s="10" t="str">
        <f>HYPERLINK(SUBSTITUTE(T(hl_0),"{0}","330331507583498"),hn_0)</f>
        <v>ОВ</v>
      </c>
      <c r="B1545" s="9">
        <v>7000</v>
      </c>
      <c r="C1545" s="11" t="s">
        <v>1085</v>
      </c>
      <c r="D1545" s="16" t="s">
        <v>1541</v>
      </c>
      <c r="E1545" s="11" t="s">
        <v>28</v>
      </c>
      <c r="F1545" s="11" t="s">
        <v>1599</v>
      </c>
    </row>
    <row r="1546" spans="1:6" ht="38.25">
      <c r="A1546" s="10" t="str">
        <f>HYPERLINK(SUBSTITUTE(T(hl_0),"{0}","320331726968841"),hn_0)</f>
        <v>ОВ</v>
      </c>
      <c r="B1546" s="9">
        <v>4750</v>
      </c>
      <c r="C1546" s="11" t="s">
        <v>1086</v>
      </c>
      <c r="D1546" s="16" t="s">
        <v>1542</v>
      </c>
      <c r="E1546" s="11" t="s">
        <v>23</v>
      </c>
      <c r="F1546" s="12" t="s">
        <v>1599</v>
      </c>
    </row>
    <row r="1547" spans="1:6" ht="38.25">
      <c r="A1547" s="10" t="str">
        <f>HYPERLINK(SUBSTITUTE(T(hl_0),"{0}","320332051278881"),hn_0)</f>
        <v>ОВ</v>
      </c>
      <c r="B1547" s="9">
        <v>4800</v>
      </c>
      <c r="C1547" s="11" t="s">
        <v>1087</v>
      </c>
      <c r="D1547" s="16" t="s">
        <v>1543</v>
      </c>
      <c r="E1547" s="11" t="s">
        <v>23</v>
      </c>
      <c r="F1547" s="12" t="s">
        <v>1599</v>
      </c>
    </row>
    <row r="1548" spans="1:6" ht="38.25">
      <c r="A1548" s="10" t="str">
        <f>HYPERLINK(SUBSTITUTE(T(hl_0),"{0}","900331819356963"),hn_0)</f>
        <v>ОВ</v>
      </c>
      <c r="B1548" s="9">
        <v>7000</v>
      </c>
      <c r="C1548" s="11" t="s">
        <v>1088</v>
      </c>
      <c r="D1548" s="16" t="s">
        <v>1544</v>
      </c>
      <c r="E1548" s="11" t="s">
        <v>16</v>
      </c>
      <c r="F1548" s="12" t="s">
        <v>1599</v>
      </c>
    </row>
    <row r="1549" spans="1:6" ht="12.75">
      <c r="A1549" s="10" t="str">
        <f>HYPERLINK(SUBSTITUTE(T(hl_0),"{0}","900330998024973"),hn_0)</f>
        <v>ОВ</v>
      </c>
      <c r="B1549" s="9">
        <v>6000</v>
      </c>
      <c r="C1549" s="11" t="s">
        <v>1088</v>
      </c>
      <c r="D1549" s="15" t="s">
        <v>1089</v>
      </c>
      <c r="E1549" s="11" t="s">
        <v>16</v>
      </c>
      <c r="F1549" s="12" t="s">
        <v>1599</v>
      </c>
    </row>
    <row r="1550" spans="1:6" ht="51">
      <c r="A1550" s="10" t="str">
        <f>HYPERLINK(SUBSTITUTE(T(hl_0),"{0}","334328112833987"),hn_0)</f>
        <v>ОВ</v>
      </c>
      <c r="B1550" s="9">
        <v>20000</v>
      </c>
      <c r="C1550" s="11" t="s">
        <v>862</v>
      </c>
      <c r="D1550" s="16" t="s">
        <v>1545</v>
      </c>
      <c r="E1550" s="11" t="s">
        <v>261</v>
      </c>
      <c r="F1550" s="11" t="s">
        <v>1599</v>
      </c>
    </row>
    <row r="1551" spans="1:6" ht="25.5">
      <c r="A1551" s="10" t="str">
        <f>HYPERLINK(SUBSTITUTE(T(hl_0),"{0}","321328500307508"),hn_0)</f>
        <v>ОВ</v>
      </c>
      <c r="B1551" s="9">
        <v>8000</v>
      </c>
      <c r="C1551" s="11" t="s">
        <v>1090</v>
      </c>
      <c r="D1551" s="16" t="s">
        <v>1546</v>
      </c>
      <c r="E1551" s="11" t="s">
        <v>409</v>
      </c>
      <c r="F1551" s="12" t="s">
        <v>1599</v>
      </c>
    </row>
    <row r="1552" spans="1:6" ht="25.5">
      <c r="A1552" s="10" t="str">
        <f>HYPERLINK(SUBSTITUTE(T(hl_0),"{0}","900325594610221"),hn_0)</f>
        <v>ОВ</v>
      </c>
      <c r="B1552" s="9">
        <v>7000</v>
      </c>
      <c r="C1552" s="11" t="s">
        <v>1090</v>
      </c>
      <c r="D1552" s="16" t="s">
        <v>1547</v>
      </c>
      <c r="E1552" s="11" t="s">
        <v>79</v>
      </c>
      <c r="F1552" s="12" t="s">
        <v>1599</v>
      </c>
    </row>
    <row r="1553" spans="1:6" ht="25.5">
      <c r="A1553" s="10" t="str">
        <f>HYPERLINK(SUBSTITUTE(T(hl_0),"{0}","900325594610228"),hn_0)</f>
        <v>ОВ</v>
      </c>
      <c r="B1553" s="9">
        <v>7000</v>
      </c>
      <c r="C1553" s="11" t="s">
        <v>1090</v>
      </c>
      <c r="D1553" s="16" t="s">
        <v>1547</v>
      </c>
      <c r="E1553" s="11" t="s">
        <v>16</v>
      </c>
      <c r="F1553" s="12" t="s">
        <v>1599</v>
      </c>
    </row>
    <row r="1554" spans="1:6" ht="25.5">
      <c r="A1554" s="10" t="str">
        <f>HYPERLINK(SUBSTITUTE(T(hl_0),"{0}","900325594579650"),hn_0)</f>
        <v>ОВ</v>
      </c>
      <c r="B1554" s="9">
        <v>7000</v>
      </c>
      <c r="C1554" s="11" t="s">
        <v>1090</v>
      </c>
      <c r="D1554" s="16" t="s">
        <v>1547</v>
      </c>
      <c r="E1554" s="11" t="s">
        <v>16</v>
      </c>
      <c r="F1554" s="12" t="s">
        <v>1599</v>
      </c>
    </row>
    <row r="1555" spans="1:6" ht="25.5">
      <c r="A1555" s="10" t="str">
        <f>HYPERLINK(SUBSTITUTE(T(hl_0),"{0}","327328110967623"),hn_0)</f>
        <v>ОВ</v>
      </c>
      <c r="B1555" s="9">
        <v>5100</v>
      </c>
      <c r="C1555" s="11" t="s">
        <v>1091</v>
      </c>
      <c r="D1555" s="15" t="s">
        <v>1092</v>
      </c>
      <c r="E1555" s="11" t="s">
        <v>16</v>
      </c>
      <c r="F1555" s="12" t="s">
        <v>1599</v>
      </c>
    </row>
    <row r="1556" spans="1:6" ht="38.25">
      <c r="A1556" s="10" t="str">
        <f>HYPERLINK(SUBSTITUTE(T(hl_0),"{0}","900331558539139"),hn_0)</f>
        <v>ОВ</v>
      </c>
      <c r="B1556" s="9">
        <v>7500</v>
      </c>
      <c r="C1556" s="11" t="s">
        <v>1091</v>
      </c>
      <c r="D1556" s="15" t="s">
        <v>1093</v>
      </c>
      <c r="E1556" s="11" t="s">
        <v>16</v>
      </c>
      <c r="F1556" s="12" t="s">
        <v>1599</v>
      </c>
    </row>
    <row r="1557" spans="1:6" ht="12.75">
      <c r="A1557" s="10" t="str">
        <f>HYPERLINK(SUBSTITUTE(T(hl_0),"{0}","900331193297845"),hn_0)</f>
        <v>ОВ</v>
      </c>
      <c r="B1557" s="9">
        <v>8000</v>
      </c>
      <c r="C1557" s="11" t="s">
        <v>1091</v>
      </c>
      <c r="D1557" s="15" t="s">
        <v>1094</v>
      </c>
      <c r="E1557" s="11" t="s">
        <v>16</v>
      </c>
      <c r="F1557" s="12" t="s">
        <v>1599</v>
      </c>
    </row>
    <row r="1558" spans="1:6" ht="12.75">
      <c r="A1558" s="10" t="str">
        <f>HYPERLINK(SUBSTITUTE(T(hl_0),"{0}","900328010898006"),hn_0)</f>
        <v>ОВ</v>
      </c>
      <c r="B1558" s="9">
        <v>8000</v>
      </c>
      <c r="C1558" s="11" t="s">
        <v>1091</v>
      </c>
      <c r="D1558" s="15" t="s">
        <v>1095</v>
      </c>
      <c r="E1558" s="11" t="s">
        <v>16</v>
      </c>
      <c r="F1558" s="12" t="s">
        <v>1599</v>
      </c>
    </row>
    <row r="1559" spans="1:6" ht="12.75">
      <c r="A1559" s="10" t="str">
        <f>HYPERLINK(SUBSTITUTE(T(hl_0),"{0}","319332224237155"),hn_0)</f>
        <v>ОВ</v>
      </c>
      <c r="B1559" s="9">
        <v>5200</v>
      </c>
      <c r="C1559" s="11" t="s">
        <v>1096</v>
      </c>
      <c r="D1559" s="16" t="s">
        <v>1291</v>
      </c>
      <c r="E1559" s="11" t="s">
        <v>22</v>
      </c>
      <c r="F1559" s="11" t="s">
        <v>1599</v>
      </c>
    </row>
    <row r="1560" spans="1:6" ht="25.5">
      <c r="A1560" s="10" t="str">
        <f>HYPERLINK(SUBSTITUTE(T(hl_0),"{0}","319332251174383"),hn_0)</f>
        <v>ОВ</v>
      </c>
      <c r="B1560" s="9">
        <v>7000</v>
      </c>
      <c r="C1560" s="11" t="s">
        <v>1097</v>
      </c>
      <c r="D1560" s="15" t="s">
        <v>1098</v>
      </c>
      <c r="E1560" s="11" t="s">
        <v>22</v>
      </c>
      <c r="F1560" s="11" t="s">
        <v>1599</v>
      </c>
    </row>
    <row r="1561" spans="1:6" ht="12.75">
      <c r="A1561" s="10" t="str">
        <f>HYPERLINK(SUBSTITUTE(T(hl_0),"{0}","319331819157682"),hn_0)</f>
        <v>ОВ</v>
      </c>
      <c r="B1561" s="9">
        <v>8000</v>
      </c>
      <c r="C1561" s="11" t="s">
        <v>1099</v>
      </c>
      <c r="D1561" s="16" t="s">
        <v>1548</v>
      </c>
      <c r="E1561" s="11" t="s">
        <v>22</v>
      </c>
      <c r="F1561" s="11" t="s">
        <v>1599</v>
      </c>
    </row>
    <row r="1562" spans="1:6" ht="25.5">
      <c r="A1562" s="10" t="str">
        <f>HYPERLINK(SUBSTITUTE(T(hl_0),"{0}","900332194769826"),hn_0)</f>
        <v>ОВ</v>
      </c>
      <c r="B1562" s="9">
        <v>8000</v>
      </c>
      <c r="C1562" s="11" t="s">
        <v>1099</v>
      </c>
      <c r="D1562" s="15" t="s">
        <v>1100</v>
      </c>
      <c r="E1562" s="11" t="s">
        <v>16</v>
      </c>
      <c r="F1562" s="12" t="s">
        <v>1599</v>
      </c>
    </row>
    <row r="1563" spans="1:6" ht="63.75">
      <c r="A1563" s="10" t="str">
        <f>HYPERLINK(SUBSTITUTE(T(hl_0),"{0}","332329115619478"),hn_0)</f>
        <v>ОВ</v>
      </c>
      <c r="B1563" s="9">
        <v>7000</v>
      </c>
      <c r="C1563" s="11" t="s">
        <v>1101</v>
      </c>
      <c r="D1563" s="16" t="s">
        <v>1549</v>
      </c>
      <c r="E1563" s="11" t="s">
        <v>14</v>
      </c>
      <c r="F1563" s="11" t="s">
        <v>1599</v>
      </c>
    </row>
    <row r="1564" spans="1:6" ht="25.5">
      <c r="A1564" s="10" t="str">
        <f>HYPERLINK(SUBSTITUTE(T(hl_0),"{0}","325331675700009"),hn_0)</f>
        <v>ОВ</v>
      </c>
      <c r="B1564" s="9">
        <v>7500</v>
      </c>
      <c r="C1564" s="11" t="s">
        <v>1102</v>
      </c>
      <c r="D1564" s="16" t="s">
        <v>1550</v>
      </c>
      <c r="E1564" s="11" t="s">
        <v>16</v>
      </c>
      <c r="F1564" s="12" t="s">
        <v>1599</v>
      </c>
    </row>
    <row r="1565" spans="1:6" ht="25.5">
      <c r="A1565" s="10" t="str">
        <f>HYPERLINK(SUBSTITUTE(T(hl_0),"{0}","325331675588203"),hn_0)</f>
        <v>ОВ</v>
      </c>
      <c r="B1565" s="9">
        <v>7500</v>
      </c>
      <c r="C1565" s="11" t="s">
        <v>1102</v>
      </c>
      <c r="D1565" s="16" t="s">
        <v>1550</v>
      </c>
      <c r="E1565" s="11" t="s">
        <v>16</v>
      </c>
      <c r="F1565" s="12" t="s">
        <v>1599</v>
      </c>
    </row>
    <row r="1566" spans="1:6" ht="25.5">
      <c r="A1566" s="10" t="str">
        <f>HYPERLINK(SUBSTITUTE(T(hl_0),"{0}","325331675775953"),hn_0)</f>
        <v>ОВ</v>
      </c>
      <c r="B1566" s="9">
        <v>7500</v>
      </c>
      <c r="C1566" s="11" t="s">
        <v>1102</v>
      </c>
      <c r="D1566" s="16" t="s">
        <v>1551</v>
      </c>
      <c r="E1566" s="11" t="s">
        <v>1103</v>
      </c>
      <c r="F1566" s="12" t="s">
        <v>1599</v>
      </c>
    </row>
    <row r="1567" spans="1:6" ht="25.5">
      <c r="A1567" s="10" t="str">
        <f>HYPERLINK(SUBSTITUTE(T(hl_0),"{0}","325331675784362"),hn_0)</f>
        <v>ОВ</v>
      </c>
      <c r="B1567" s="9">
        <v>7500</v>
      </c>
      <c r="C1567" s="11" t="s">
        <v>1102</v>
      </c>
      <c r="D1567" s="16" t="s">
        <v>1552</v>
      </c>
      <c r="E1567" s="11" t="s">
        <v>1103</v>
      </c>
      <c r="F1567" s="12" t="s">
        <v>1599</v>
      </c>
    </row>
    <row r="1568" spans="1:6" ht="25.5">
      <c r="A1568" s="10" t="str">
        <f>HYPERLINK(SUBSTITUTE(T(hl_0),"{0}","325331675700025"),hn_0)</f>
        <v>ОВ</v>
      </c>
      <c r="B1568" s="9">
        <v>7500</v>
      </c>
      <c r="C1568" s="11" t="s">
        <v>1102</v>
      </c>
      <c r="D1568" s="16" t="s">
        <v>1550</v>
      </c>
      <c r="E1568" s="11" t="s">
        <v>16</v>
      </c>
      <c r="F1568" s="12" t="s">
        <v>1599</v>
      </c>
    </row>
    <row r="1569" spans="1:6" ht="25.5">
      <c r="A1569" s="10" t="str">
        <f>HYPERLINK(SUBSTITUTE(T(hl_0),"{0}","325331675784371"),hn_0)</f>
        <v>ОВ</v>
      </c>
      <c r="B1569" s="9">
        <v>7500</v>
      </c>
      <c r="C1569" s="11" t="s">
        <v>1102</v>
      </c>
      <c r="D1569" s="16" t="s">
        <v>1552</v>
      </c>
      <c r="E1569" s="11" t="s">
        <v>1103</v>
      </c>
      <c r="F1569" s="12" t="s">
        <v>1599</v>
      </c>
    </row>
    <row r="1570" spans="1:6" ht="25.5">
      <c r="A1570" s="10" t="str">
        <f>HYPERLINK(SUBSTITUTE(T(hl_0),"{0}","325331675700018"),hn_0)</f>
        <v>ОВ</v>
      </c>
      <c r="B1570" s="9">
        <v>7500</v>
      </c>
      <c r="C1570" s="11" t="s">
        <v>1102</v>
      </c>
      <c r="D1570" s="16" t="s">
        <v>1550</v>
      </c>
      <c r="E1570" s="11" t="s">
        <v>16</v>
      </c>
      <c r="F1570" s="12" t="s">
        <v>1599</v>
      </c>
    </row>
    <row r="1571" spans="1:6" ht="25.5">
      <c r="A1571" s="10" t="str">
        <f>HYPERLINK(SUBSTITUTE(T(hl_0),"{0}","325331675784349"),hn_0)</f>
        <v>ОВ</v>
      </c>
      <c r="B1571" s="9">
        <v>7500</v>
      </c>
      <c r="C1571" s="11" t="s">
        <v>1102</v>
      </c>
      <c r="D1571" s="16" t="s">
        <v>1552</v>
      </c>
      <c r="E1571" s="11" t="s">
        <v>1103</v>
      </c>
      <c r="F1571" s="12" t="s">
        <v>1599</v>
      </c>
    </row>
    <row r="1572" spans="1:6" ht="25.5">
      <c r="A1572" s="10" t="str">
        <f>HYPERLINK(SUBSTITUTE(T(hl_0),"{0}","325331675784355"),hn_0)</f>
        <v>ОВ</v>
      </c>
      <c r="B1572" s="9">
        <v>7500</v>
      </c>
      <c r="C1572" s="11" t="s">
        <v>1102</v>
      </c>
      <c r="D1572" s="16" t="s">
        <v>1552</v>
      </c>
      <c r="E1572" s="11" t="s">
        <v>1103</v>
      </c>
      <c r="F1572" s="12" t="s">
        <v>1599</v>
      </c>
    </row>
    <row r="1573" spans="1:6" ht="25.5">
      <c r="A1573" s="10" t="str">
        <f>HYPERLINK(SUBSTITUTE(T(hl_0),"{0}","325331675784377"),hn_0)</f>
        <v>ОВ</v>
      </c>
      <c r="B1573" s="9">
        <v>7500</v>
      </c>
      <c r="C1573" s="11" t="s">
        <v>1102</v>
      </c>
      <c r="D1573" s="16" t="s">
        <v>1552</v>
      </c>
      <c r="E1573" s="11" t="s">
        <v>1103</v>
      </c>
      <c r="F1573" s="12" t="s">
        <v>1599</v>
      </c>
    </row>
    <row r="1574" spans="1:6" ht="25.5">
      <c r="A1574" s="10" t="str">
        <f>HYPERLINK(SUBSTITUTE(T(hl_0),"{0}","325331675784342"),hn_0)</f>
        <v>ОВ</v>
      </c>
      <c r="B1574" s="9">
        <v>7500</v>
      </c>
      <c r="C1574" s="11" t="s">
        <v>1102</v>
      </c>
      <c r="D1574" s="16" t="s">
        <v>1552</v>
      </c>
      <c r="E1574" s="11" t="s">
        <v>1103</v>
      </c>
      <c r="F1574" s="12" t="s">
        <v>1599</v>
      </c>
    </row>
    <row r="1575" spans="1:6" ht="25.5">
      <c r="A1575" s="10" t="str">
        <f>HYPERLINK(SUBSTITUTE(T(hl_0),"{0}","325330310023581"),hn_0)</f>
        <v>ОВ</v>
      </c>
      <c r="B1575" s="9">
        <v>7500</v>
      </c>
      <c r="C1575" s="11" t="s">
        <v>1102</v>
      </c>
      <c r="D1575" s="16" t="s">
        <v>1552</v>
      </c>
      <c r="E1575" s="11" t="s">
        <v>1103</v>
      </c>
      <c r="F1575" s="12" t="s">
        <v>1599</v>
      </c>
    </row>
    <row r="1576" spans="1:6" ht="38.25">
      <c r="A1576" s="10" t="str">
        <f>HYPERLINK(SUBSTITUTE(T(hl_0),"{0}","321331875213871"),hn_0)</f>
        <v>ОВ</v>
      </c>
      <c r="B1576" s="9">
        <v>6500</v>
      </c>
      <c r="C1576" s="11" t="s">
        <v>1104</v>
      </c>
      <c r="D1576" s="16" t="s">
        <v>1553</v>
      </c>
      <c r="E1576" s="11" t="s">
        <v>20</v>
      </c>
      <c r="F1576" s="12" t="s">
        <v>1599</v>
      </c>
    </row>
    <row r="1577" spans="1:6" ht="51">
      <c r="A1577" s="10" t="str">
        <f>HYPERLINK(SUBSTITUTE(T(hl_0),"{0}","321325047867931"),hn_0)</f>
        <v>ОВ</v>
      </c>
      <c r="B1577" s="9">
        <v>8000</v>
      </c>
      <c r="C1577" s="11" t="s">
        <v>1104</v>
      </c>
      <c r="D1577" s="16" t="s">
        <v>1554</v>
      </c>
      <c r="E1577" s="11" t="s">
        <v>64</v>
      </c>
      <c r="F1577" s="12" t="s">
        <v>1599</v>
      </c>
    </row>
    <row r="1578" spans="1:6" ht="38.25">
      <c r="A1578" s="10" t="str">
        <f>HYPERLINK(SUBSTITUTE(T(hl_0),"{0}","321328249751656"),hn_0)</f>
        <v>ОВ</v>
      </c>
      <c r="B1578" s="9">
        <v>8800</v>
      </c>
      <c r="C1578" s="11" t="s">
        <v>1104</v>
      </c>
      <c r="D1578" s="16" t="s">
        <v>1555</v>
      </c>
      <c r="E1578" s="11" t="s">
        <v>20</v>
      </c>
      <c r="F1578" s="12" t="s">
        <v>1599</v>
      </c>
    </row>
    <row r="1579" spans="1:6" ht="25.5">
      <c r="A1579" s="10" t="str">
        <f>HYPERLINK(SUBSTITUTE(T(hl_0),"{0}","900327510480828"),hn_0)</f>
        <v>ОВ</v>
      </c>
      <c r="B1579" s="9">
        <v>5500</v>
      </c>
      <c r="C1579" s="11" t="s">
        <v>1104</v>
      </c>
      <c r="D1579" s="16" t="s">
        <v>1556</v>
      </c>
      <c r="E1579" s="11" t="s">
        <v>16</v>
      </c>
      <c r="F1579" s="12" t="s">
        <v>1599</v>
      </c>
    </row>
    <row r="1580" spans="1:6" ht="51">
      <c r="A1580" s="10" t="str">
        <f>HYPERLINK(SUBSTITUTE(T(hl_0),"{0}","900328109463057"),hn_0)</f>
        <v>ОВ</v>
      </c>
      <c r="B1580" s="9">
        <v>15000</v>
      </c>
      <c r="C1580" s="11" t="s">
        <v>1105</v>
      </c>
      <c r="D1580" s="15" t="s">
        <v>1106</v>
      </c>
      <c r="E1580" s="11" t="s">
        <v>16</v>
      </c>
      <c r="F1580" s="12" t="s">
        <v>1599</v>
      </c>
    </row>
    <row r="1581" spans="1:6" ht="25.5">
      <c r="A1581" s="10" t="str">
        <f>HYPERLINK(SUBSTITUTE(T(hl_0),"{0}","319327667931776"),hn_0)</f>
        <v>ОВ</v>
      </c>
      <c r="B1581" s="9">
        <v>4723</v>
      </c>
      <c r="C1581" s="11" t="s">
        <v>1107</v>
      </c>
      <c r="D1581" s="16" t="s">
        <v>1557</v>
      </c>
      <c r="E1581" s="11" t="s">
        <v>22</v>
      </c>
      <c r="F1581" s="11" t="s">
        <v>1599</v>
      </c>
    </row>
    <row r="1582" spans="1:6" ht="38.25">
      <c r="A1582" s="10" t="str">
        <f>HYPERLINK(SUBSTITUTE(T(hl_0),"{0}","900331795239831"),hn_0)</f>
        <v>ОВ</v>
      </c>
      <c r="B1582" s="9">
        <v>5200</v>
      </c>
      <c r="C1582" s="11" t="s">
        <v>1108</v>
      </c>
      <c r="D1582" s="15" t="s">
        <v>1109</v>
      </c>
      <c r="E1582" s="11" t="s">
        <v>16</v>
      </c>
      <c r="F1582" s="12" t="s">
        <v>1599</v>
      </c>
    </row>
    <row r="1583" spans="1:6" ht="38.25">
      <c r="A1583" s="10" t="str">
        <f>HYPERLINK(SUBSTITUTE(T(hl_0),"{0}","900331795235768"),hn_0)</f>
        <v>ОВ</v>
      </c>
      <c r="B1583" s="9">
        <v>5200</v>
      </c>
      <c r="C1583" s="11" t="s">
        <v>1108</v>
      </c>
      <c r="D1583" s="15" t="s">
        <v>1109</v>
      </c>
      <c r="E1583" s="11" t="s">
        <v>16</v>
      </c>
      <c r="F1583" s="12" t="s">
        <v>1599</v>
      </c>
    </row>
    <row r="1584" spans="1:6" ht="25.5">
      <c r="A1584" s="10" t="str">
        <f>HYPERLINK(SUBSTITUTE(T(hl_0),"{0}","900327073943536"),hn_0)</f>
        <v>ОВ</v>
      </c>
      <c r="B1584" s="9">
        <v>4723</v>
      </c>
      <c r="C1584" s="11" t="s">
        <v>1108</v>
      </c>
      <c r="D1584" s="15" t="s">
        <v>1110</v>
      </c>
      <c r="E1584" s="11" t="s">
        <v>16</v>
      </c>
      <c r="F1584" s="12" t="s">
        <v>1599</v>
      </c>
    </row>
    <row r="1585" spans="1:6" ht="25.5">
      <c r="A1585" s="10" t="str">
        <f>HYPERLINK(SUBSTITUTE(T(hl_0),"{0}","325331675850396"),hn_0)</f>
        <v>ОВ</v>
      </c>
      <c r="B1585" s="9">
        <v>7500</v>
      </c>
      <c r="C1585" s="11" t="s">
        <v>1111</v>
      </c>
      <c r="D1585" s="16" t="s">
        <v>1558</v>
      </c>
      <c r="E1585" s="11" t="s">
        <v>1103</v>
      </c>
      <c r="F1585" s="12" t="s">
        <v>1599</v>
      </c>
    </row>
    <row r="1586" spans="1:6" ht="25.5">
      <c r="A1586" s="10" t="str">
        <f>HYPERLINK(SUBSTITUTE(T(hl_0),"{0}","325331675850403"),hn_0)</f>
        <v>ОВ</v>
      </c>
      <c r="B1586" s="9">
        <v>7500</v>
      </c>
      <c r="C1586" s="11" t="s">
        <v>1111</v>
      </c>
      <c r="D1586" s="16" t="s">
        <v>1558</v>
      </c>
      <c r="E1586" s="11" t="s">
        <v>1103</v>
      </c>
      <c r="F1586" s="12" t="s">
        <v>1599</v>
      </c>
    </row>
    <row r="1587" spans="1:6" ht="25.5">
      <c r="A1587" s="10" t="str">
        <f>HYPERLINK(SUBSTITUTE(T(hl_0),"{0}","325331675850390"),hn_0)</f>
        <v>ОВ</v>
      </c>
      <c r="B1587" s="9">
        <v>7500</v>
      </c>
      <c r="C1587" s="11" t="s">
        <v>1111</v>
      </c>
      <c r="D1587" s="16" t="s">
        <v>1559</v>
      </c>
      <c r="E1587" s="11" t="s">
        <v>1103</v>
      </c>
      <c r="F1587" s="12" t="s">
        <v>1599</v>
      </c>
    </row>
    <row r="1588" spans="1:6" ht="25.5">
      <c r="A1588" s="10" t="str">
        <f>HYPERLINK(SUBSTITUTE(T(hl_0),"{0}","325331675910590"),hn_0)</f>
        <v>ОВ</v>
      </c>
      <c r="B1588" s="9">
        <v>7500</v>
      </c>
      <c r="C1588" s="11" t="s">
        <v>1111</v>
      </c>
      <c r="D1588" s="16" t="s">
        <v>1560</v>
      </c>
      <c r="E1588" s="11" t="s">
        <v>16</v>
      </c>
      <c r="F1588" s="12" t="s">
        <v>1599</v>
      </c>
    </row>
    <row r="1589" spans="1:6" ht="25.5">
      <c r="A1589" s="10" t="str">
        <f>HYPERLINK(SUBSTITUTE(T(hl_0),"{0}","325331675901864"),hn_0)</f>
        <v>ОВ</v>
      </c>
      <c r="B1589" s="9">
        <v>7500</v>
      </c>
      <c r="C1589" s="11" t="s">
        <v>1111</v>
      </c>
      <c r="D1589" s="16" t="s">
        <v>1560</v>
      </c>
      <c r="E1589" s="11" t="s">
        <v>16</v>
      </c>
      <c r="F1589" s="12" t="s">
        <v>1599</v>
      </c>
    </row>
    <row r="1590" spans="1:6" ht="25.5">
      <c r="A1590" s="10" t="str">
        <f>HYPERLINK(SUBSTITUTE(T(hl_0),"{0}","325331675848076"),hn_0)</f>
        <v>ОВ</v>
      </c>
      <c r="B1590" s="9">
        <v>7500</v>
      </c>
      <c r="C1590" s="11" t="s">
        <v>1111</v>
      </c>
      <c r="D1590" s="16" t="s">
        <v>1559</v>
      </c>
      <c r="E1590" s="11" t="s">
        <v>16</v>
      </c>
      <c r="F1590" s="12" t="s">
        <v>1599</v>
      </c>
    </row>
    <row r="1591" spans="1:6" ht="25.5">
      <c r="A1591" s="10" t="str">
        <f>HYPERLINK(SUBSTITUTE(T(hl_0),"{0}","325331675850413"),hn_0)</f>
        <v>ОВ</v>
      </c>
      <c r="B1591" s="9">
        <v>7500</v>
      </c>
      <c r="C1591" s="11" t="s">
        <v>1111</v>
      </c>
      <c r="D1591" s="16" t="s">
        <v>1558</v>
      </c>
      <c r="E1591" s="11" t="s">
        <v>1103</v>
      </c>
      <c r="F1591" s="12" t="s">
        <v>1599</v>
      </c>
    </row>
    <row r="1592" spans="1:6" ht="76.5">
      <c r="A1592" s="10" t="str">
        <f>HYPERLINK(SUBSTITUTE(T(hl_0),"{0}","900331995704899"),hn_0)</f>
        <v>ОВ</v>
      </c>
      <c r="B1592" s="9">
        <v>8000</v>
      </c>
      <c r="C1592" s="11" t="s">
        <v>1111</v>
      </c>
      <c r="D1592" s="15" t="s">
        <v>1112</v>
      </c>
      <c r="E1592" s="11" t="s">
        <v>16</v>
      </c>
      <c r="F1592" s="12" t="s">
        <v>1599</v>
      </c>
    </row>
    <row r="1593" spans="1:6" ht="25.5">
      <c r="A1593" s="10" t="str">
        <f>HYPERLINK(SUBSTITUTE(T(hl_0),"{0}","900331676904813"),hn_0)</f>
        <v>ОВ</v>
      </c>
      <c r="B1593" s="9">
        <v>6000</v>
      </c>
      <c r="C1593" s="11" t="s">
        <v>1113</v>
      </c>
      <c r="D1593" s="15" t="s">
        <v>1114</v>
      </c>
      <c r="E1593" s="11" t="s">
        <v>16</v>
      </c>
      <c r="F1593" s="12" t="s">
        <v>1599</v>
      </c>
    </row>
    <row r="1594" spans="1:6" ht="12.75">
      <c r="A1594" s="10" t="str">
        <f>HYPERLINK(SUBSTITUTE(T(hl_0),"{0}","900332220342600"),hn_0)</f>
        <v>ОВ</v>
      </c>
      <c r="B1594" s="9">
        <v>5000</v>
      </c>
      <c r="C1594" s="11" t="s">
        <v>1113</v>
      </c>
      <c r="D1594" s="15" t="s">
        <v>1115</v>
      </c>
      <c r="E1594" s="11" t="s">
        <v>16</v>
      </c>
      <c r="F1594" s="12" t="s">
        <v>1599</v>
      </c>
    </row>
    <row r="1595" spans="1:6" ht="25.5">
      <c r="A1595" s="10" t="str">
        <f>HYPERLINK(SUBSTITUTE(T(hl_0),"{0}","900331676928839"),hn_0)</f>
        <v>ОВ</v>
      </c>
      <c r="B1595" s="9">
        <v>6000</v>
      </c>
      <c r="C1595" s="11" t="s">
        <v>1113</v>
      </c>
      <c r="D1595" s="15" t="s">
        <v>1114</v>
      </c>
      <c r="E1595" s="11" t="s">
        <v>16</v>
      </c>
      <c r="F1595" s="12" t="s">
        <v>1599</v>
      </c>
    </row>
    <row r="1596" spans="1:6" ht="25.5">
      <c r="A1596" s="10" t="str">
        <f>HYPERLINK(SUBSTITUTE(T(hl_0),"{0}","900331676928853"),hn_0)</f>
        <v>ОВ</v>
      </c>
      <c r="B1596" s="9">
        <v>6000</v>
      </c>
      <c r="C1596" s="11" t="s">
        <v>1113</v>
      </c>
      <c r="D1596" s="15" t="s">
        <v>1114</v>
      </c>
      <c r="E1596" s="11" t="s">
        <v>16</v>
      </c>
      <c r="F1596" s="12" t="s">
        <v>1599</v>
      </c>
    </row>
    <row r="1597" spans="1:6" ht="38.25">
      <c r="A1597" s="10" t="str">
        <f>HYPERLINK(SUBSTITUTE(T(hl_0),"{0}","319331970684693"),hn_0)</f>
        <v>ОВ</v>
      </c>
      <c r="B1597" s="9">
        <v>10000</v>
      </c>
      <c r="C1597" s="11" t="s">
        <v>1116</v>
      </c>
      <c r="D1597" s="16" t="s">
        <v>1561</v>
      </c>
      <c r="E1597" s="11" t="s">
        <v>22</v>
      </c>
      <c r="F1597" s="11" t="s">
        <v>1599</v>
      </c>
    </row>
    <row r="1598" spans="1:6" ht="25.5">
      <c r="A1598" s="10" t="str">
        <f>HYPERLINK(SUBSTITUTE(T(hl_0),"{0}","327332224297726"),hn_0)</f>
        <v>ОВ</v>
      </c>
      <c r="B1598" s="9">
        <v>4865</v>
      </c>
      <c r="C1598" s="11" t="s">
        <v>1117</v>
      </c>
      <c r="D1598" s="15" t="s">
        <v>1118</v>
      </c>
      <c r="E1598" s="11" t="s">
        <v>872</v>
      </c>
      <c r="F1598" s="12" t="s">
        <v>1599</v>
      </c>
    </row>
    <row r="1599" spans="1:6" ht="38.25">
      <c r="A1599" s="10" t="str">
        <f>HYPERLINK(SUBSTITUTE(T(hl_0),"{0}","319331970878065"),hn_0)</f>
        <v>ОВ</v>
      </c>
      <c r="B1599" s="9">
        <v>10000</v>
      </c>
      <c r="C1599" s="11" t="s">
        <v>1113</v>
      </c>
      <c r="D1599" s="16" t="s">
        <v>1562</v>
      </c>
      <c r="E1599" s="11" t="s">
        <v>22</v>
      </c>
      <c r="F1599" s="11" t="s">
        <v>1599</v>
      </c>
    </row>
    <row r="1600" spans="1:6" ht="12.75">
      <c r="A1600" s="10" t="str">
        <f>HYPERLINK(SUBSTITUTE(T(hl_0),"{0}","319331561131000"),hn_0)</f>
        <v>ОВ</v>
      </c>
      <c r="B1600" s="9">
        <v>10000</v>
      </c>
      <c r="C1600" s="11" t="s">
        <v>1113</v>
      </c>
      <c r="D1600" s="16" t="s">
        <v>1563</v>
      </c>
      <c r="E1600" s="11" t="s">
        <v>22</v>
      </c>
      <c r="F1600" s="11" t="s">
        <v>1599</v>
      </c>
    </row>
    <row r="1601" spans="1:6" ht="38.25">
      <c r="A1601" s="10" t="str">
        <f>HYPERLINK(SUBSTITUTE(T(hl_0),"{0}","320332051045392"),hn_0)</f>
        <v>ОВ</v>
      </c>
      <c r="B1601" s="9">
        <v>4800</v>
      </c>
      <c r="C1601" s="11" t="s">
        <v>1113</v>
      </c>
      <c r="D1601" s="16" t="s">
        <v>1564</v>
      </c>
      <c r="E1601" s="11" t="s">
        <v>23</v>
      </c>
      <c r="F1601" s="12" t="s">
        <v>1599</v>
      </c>
    </row>
    <row r="1602" spans="1:6" ht="38.25">
      <c r="A1602" s="10" t="str">
        <f>HYPERLINK(SUBSTITUTE(T(hl_0),"{0}","332327385912931"),hn_0)</f>
        <v>ОВ</v>
      </c>
      <c r="B1602" s="9">
        <v>5000</v>
      </c>
      <c r="C1602" s="11" t="s">
        <v>1113</v>
      </c>
      <c r="D1602" s="16" t="s">
        <v>1565</v>
      </c>
      <c r="E1602" s="11" t="s">
        <v>14</v>
      </c>
      <c r="F1602" s="11" t="s">
        <v>1599</v>
      </c>
    </row>
    <row r="1603" spans="1:6" ht="25.5">
      <c r="A1603" s="10" t="str">
        <f>HYPERLINK(SUBSTITUTE(T(hl_0),"{0}","321328246800925"),hn_0)</f>
        <v>ОВ</v>
      </c>
      <c r="B1603" s="9">
        <v>5000</v>
      </c>
      <c r="C1603" s="11" t="s">
        <v>1119</v>
      </c>
      <c r="D1603" s="16" t="s">
        <v>1566</v>
      </c>
      <c r="E1603" s="11" t="s">
        <v>20</v>
      </c>
      <c r="F1603" s="12" t="s">
        <v>1599</v>
      </c>
    </row>
    <row r="1604" spans="1:6" ht="25.5">
      <c r="A1604" s="10" t="str">
        <f>HYPERLINK(SUBSTITUTE(T(hl_0),"{0}","324331534605940"),hn_0)</f>
        <v>ОВ</v>
      </c>
      <c r="B1604" s="9">
        <v>5000</v>
      </c>
      <c r="C1604" s="11" t="s">
        <v>1120</v>
      </c>
      <c r="D1604" s="15" t="s">
        <v>1121</v>
      </c>
      <c r="E1604" s="11" t="s">
        <v>1122</v>
      </c>
      <c r="F1604" s="11" t="s">
        <v>1599</v>
      </c>
    </row>
    <row r="1605" spans="1:6" ht="25.5">
      <c r="A1605" s="10" t="str">
        <f>HYPERLINK(SUBSTITUTE(T(hl_0),"{0}","324331534633606"),hn_0)</f>
        <v>ОВ</v>
      </c>
      <c r="B1605" s="9">
        <v>5000</v>
      </c>
      <c r="C1605" s="11" t="s">
        <v>1120</v>
      </c>
      <c r="D1605" s="15" t="s">
        <v>1123</v>
      </c>
      <c r="E1605" s="11" t="s">
        <v>1124</v>
      </c>
      <c r="F1605" s="11" t="s">
        <v>1599</v>
      </c>
    </row>
    <row r="1606" spans="1:6" ht="12.75">
      <c r="A1606" s="10" t="str">
        <f>HYPERLINK(SUBSTITUTE(T(hl_0),"{0}","328332222691332"),hn_0)</f>
        <v>ОВ</v>
      </c>
      <c r="B1606" s="9">
        <v>8000</v>
      </c>
      <c r="C1606" s="11" t="s">
        <v>1120</v>
      </c>
      <c r="D1606" s="15" t="s">
        <v>1125</v>
      </c>
      <c r="E1606" s="11" t="s">
        <v>61</v>
      </c>
      <c r="F1606" s="11" t="s">
        <v>1599</v>
      </c>
    </row>
    <row r="1607" spans="1:6" ht="25.5">
      <c r="A1607" s="10" t="str">
        <f>HYPERLINK(SUBSTITUTE(T(hl_0),"{0}","330332220621787"),hn_0)</f>
        <v>ОВ</v>
      </c>
      <c r="B1607" s="9">
        <v>10000</v>
      </c>
      <c r="C1607" s="11" t="s">
        <v>1120</v>
      </c>
      <c r="D1607" s="16" t="s">
        <v>1567</v>
      </c>
      <c r="E1607" s="11" t="s">
        <v>45</v>
      </c>
      <c r="F1607" s="11" t="s">
        <v>1599</v>
      </c>
    </row>
    <row r="1608" spans="1:6" ht="25.5">
      <c r="A1608" s="10" t="str">
        <f>HYPERLINK(SUBSTITUTE(T(hl_0),"{0}","330331170233195"),hn_0)</f>
        <v>ОВ</v>
      </c>
      <c r="B1608" s="9">
        <v>8076</v>
      </c>
      <c r="C1608" s="11" t="s">
        <v>1120</v>
      </c>
      <c r="D1608" s="16" t="s">
        <v>1568</v>
      </c>
      <c r="E1608" s="11" t="s">
        <v>28</v>
      </c>
      <c r="F1608" s="11" t="s">
        <v>1599</v>
      </c>
    </row>
    <row r="1609" spans="1:6" ht="25.5">
      <c r="A1609" s="10" t="str">
        <f>HYPERLINK(SUBSTITUTE(T(hl_0),"{0}","900328427745826"),hn_0)</f>
        <v>ОВ</v>
      </c>
      <c r="B1609" s="9">
        <v>12000</v>
      </c>
      <c r="C1609" s="11" t="s">
        <v>1126</v>
      </c>
      <c r="D1609" s="16" t="s">
        <v>1569</v>
      </c>
      <c r="E1609" s="11" t="s">
        <v>261</v>
      </c>
      <c r="F1609" s="12" t="s">
        <v>1599</v>
      </c>
    </row>
    <row r="1610" spans="1:6" ht="25.5">
      <c r="A1610" s="10" t="str">
        <f>HYPERLINK(SUBSTITUTE(T(hl_0),"{0}","900328427743372"),hn_0)</f>
        <v>ОВ</v>
      </c>
      <c r="B1610" s="9">
        <v>12000</v>
      </c>
      <c r="C1610" s="11" t="s">
        <v>1126</v>
      </c>
      <c r="D1610" s="16" t="s">
        <v>1569</v>
      </c>
      <c r="E1610" s="11" t="s">
        <v>233</v>
      </c>
      <c r="F1610" s="12" t="s">
        <v>1599</v>
      </c>
    </row>
    <row r="1611" spans="1:6" ht="25.5">
      <c r="A1611" s="10" t="str">
        <f>HYPERLINK(SUBSTITUTE(T(hl_0),"{0}","900328427739818"),hn_0)</f>
        <v>ОВ</v>
      </c>
      <c r="B1611" s="9">
        <v>12000</v>
      </c>
      <c r="C1611" s="11" t="s">
        <v>1126</v>
      </c>
      <c r="D1611" s="16" t="s">
        <v>1569</v>
      </c>
      <c r="E1611" s="11" t="s">
        <v>38</v>
      </c>
      <c r="F1611" s="12" t="s">
        <v>1599</v>
      </c>
    </row>
    <row r="1612" spans="1:6" ht="25.5">
      <c r="A1612" s="10" t="str">
        <f>HYPERLINK(SUBSTITUTE(T(hl_0),"{0}","900328427723299"),hn_0)</f>
        <v>ОВ</v>
      </c>
      <c r="B1612" s="9">
        <v>12000</v>
      </c>
      <c r="C1612" s="11" t="s">
        <v>1126</v>
      </c>
      <c r="D1612" s="16" t="s">
        <v>1569</v>
      </c>
      <c r="E1612" s="11" t="s">
        <v>24</v>
      </c>
      <c r="F1612" s="12" t="s">
        <v>1599</v>
      </c>
    </row>
    <row r="1613" spans="1:6" ht="25.5">
      <c r="A1613" s="10" t="str">
        <f>HYPERLINK(SUBSTITUTE(T(hl_0),"{0}","900328427732934"),hn_0)</f>
        <v>ОВ</v>
      </c>
      <c r="B1613" s="9">
        <v>12000</v>
      </c>
      <c r="C1613" s="11" t="s">
        <v>1126</v>
      </c>
      <c r="D1613" s="16" t="s">
        <v>1569</v>
      </c>
      <c r="E1613" s="11" t="s">
        <v>336</v>
      </c>
      <c r="F1613" s="12" t="s">
        <v>1599</v>
      </c>
    </row>
    <row r="1614" spans="1:6" ht="25.5">
      <c r="A1614" s="10" t="str">
        <f>HYPERLINK(SUBSTITUTE(T(hl_0),"{0}","900328427713549"),hn_0)</f>
        <v>ОВ</v>
      </c>
      <c r="B1614" s="9">
        <v>12000</v>
      </c>
      <c r="C1614" s="11" t="s">
        <v>1126</v>
      </c>
      <c r="D1614" s="16" t="s">
        <v>1569</v>
      </c>
      <c r="E1614" s="11" t="s">
        <v>36</v>
      </c>
      <c r="F1614" s="12" t="s">
        <v>1599</v>
      </c>
    </row>
    <row r="1615" spans="1:6" ht="25.5">
      <c r="A1615" s="10" t="str">
        <f>HYPERLINK(SUBSTITUTE(T(hl_0),"{0}","900328427405078"),hn_0)</f>
        <v>ОВ</v>
      </c>
      <c r="B1615" s="9">
        <v>12000</v>
      </c>
      <c r="C1615" s="11" t="s">
        <v>1126</v>
      </c>
      <c r="D1615" s="16" t="s">
        <v>1569</v>
      </c>
      <c r="E1615" s="11" t="s">
        <v>16</v>
      </c>
      <c r="F1615" s="12" t="s">
        <v>1599</v>
      </c>
    </row>
    <row r="1616" spans="1:6" ht="25.5">
      <c r="A1616" s="10" t="str">
        <f>HYPERLINK(SUBSTITUTE(T(hl_0),"{0}","900328427405086"),hn_0)</f>
        <v>ОВ</v>
      </c>
      <c r="B1616" s="9">
        <v>12000</v>
      </c>
      <c r="C1616" s="11" t="s">
        <v>1126</v>
      </c>
      <c r="D1616" s="16" t="s">
        <v>1569</v>
      </c>
      <c r="E1616" s="11" t="s">
        <v>20</v>
      </c>
      <c r="F1616" s="12" t="s">
        <v>1599</v>
      </c>
    </row>
    <row r="1617" spans="1:6" ht="25.5">
      <c r="A1617" s="10" t="str">
        <f>HYPERLINK(SUBSTITUTE(T(hl_0),"{0}","900328427405099"),hn_0)</f>
        <v>ОВ</v>
      </c>
      <c r="B1617" s="9">
        <v>12000</v>
      </c>
      <c r="C1617" s="11" t="s">
        <v>1126</v>
      </c>
      <c r="D1617" s="16" t="s">
        <v>1569</v>
      </c>
      <c r="E1617" s="11" t="s">
        <v>20</v>
      </c>
      <c r="F1617" s="12" t="s">
        <v>1599</v>
      </c>
    </row>
    <row r="1618" spans="1:6" ht="25.5">
      <c r="A1618" s="10" t="str">
        <f>HYPERLINK(SUBSTITUTE(T(hl_0),"{0}","900328427594323"),hn_0)</f>
        <v>ОВ</v>
      </c>
      <c r="B1618" s="9">
        <v>12000</v>
      </c>
      <c r="C1618" s="11" t="s">
        <v>1126</v>
      </c>
      <c r="D1618" s="16" t="s">
        <v>1569</v>
      </c>
      <c r="E1618" s="11" t="s">
        <v>23</v>
      </c>
      <c r="F1618" s="12" t="s">
        <v>1599</v>
      </c>
    </row>
    <row r="1619" spans="1:6" ht="25.5">
      <c r="A1619" s="10" t="str">
        <f>HYPERLINK(SUBSTITUTE(T(hl_0),"{0}","900328427580170"),hn_0)</f>
        <v>ОВ</v>
      </c>
      <c r="B1619" s="9">
        <v>12000</v>
      </c>
      <c r="C1619" s="11" t="s">
        <v>1126</v>
      </c>
      <c r="D1619" s="16" t="s">
        <v>1569</v>
      </c>
      <c r="E1619" s="11" t="s">
        <v>22</v>
      </c>
      <c r="F1619" s="12" t="s">
        <v>1599</v>
      </c>
    </row>
    <row r="1620" spans="1:6" ht="25.5">
      <c r="A1620" s="10" t="str">
        <f>HYPERLINK(SUBSTITUTE(T(hl_0),"{0}","900328427599022"),hn_0)</f>
        <v>ОВ</v>
      </c>
      <c r="B1620" s="9">
        <v>12000</v>
      </c>
      <c r="C1620" s="11" t="s">
        <v>1126</v>
      </c>
      <c r="D1620" s="16" t="s">
        <v>1569</v>
      </c>
      <c r="E1620" s="11" t="s">
        <v>23</v>
      </c>
      <c r="F1620" s="12" t="s">
        <v>1599</v>
      </c>
    </row>
    <row r="1621" spans="1:6" ht="25.5">
      <c r="A1621" s="10" t="str">
        <f>HYPERLINK(SUBSTITUTE(T(hl_0),"{0}","900328427728555"),hn_0)</f>
        <v>ОВ</v>
      </c>
      <c r="B1621" s="9">
        <v>12000</v>
      </c>
      <c r="C1621" s="11" t="s">
        <v>1126</v>
      </c>
      <c r="D1621" s="16" t="s">
        <v>1569</v>
      </c>
      <c r="E1621" s="11" t="s">
        <v>44</v>
      </c>
      <c r="F1621" s="12" t="s">
        <v>1599</v>
      </c>
    </row>
    <row r="1622" spans="1:6" ht="25.5">
      <c r="A1622" s="10" t="str">
        <f>HYPERLINK(SUBSTITUTE(T(hl_0),"{0}","900328427757214"),hn_0)</f>
        <v>ОВ</v>
      </c>
      <c r="B1622" s="9">
        <v>12000</v>
      </c>
      <c r="C1622" s="11" t="s">
        <v>1126</v>
      </c>
      <c r="D1622" s="16" t="s">
        <v>1569</v>
      </c>
      <c r="E1622" s="11" t="s">
        <v>258</v>
      </c>
      <c r="F1622" s="12" t="s">
        <v>1599</v>
      </c>
    </row>
    <row r="1623" spans="1:6" ht="25.5">
      <c r="A1623" s="10" t="str">
        <f>HYPERLINK(SUBSTITUTE(T(hl_0),"{0}","900328427688948"),hn_0)</f>
        <v>ОВ</v>
      </c>
      <c r="B1623" s="9">
        <v>12000</v>
      </c>
      <c r="C1623" s="11" t="s">
        <v>1126</v>
      </c>
      <c r="D1623" s="16" t="s">
        <v>1569</v>
      </c>
      <c r="E1623" s="11" t="s">
        <v>45</v>
      </c>
      <c r="F1623" s="12" t="s">
        <v>1599</v>
      </c>
    </row>
    <row r="1624" spans="1:6" ht="25.5">
      <c r="A1624" s="10" t="str">
        <f>HYPERLINK(SUBSTITUTE(T(hl_0),"{0}","900328427718200"),hn_0)</f>
        <v>ОВ</v>
      </c>
      <c r="B1624" s="9">
        <v>12000</v>
      </c>
      <c r="C1624" s="11" t="s">
        <v>1126</v>
      </c>
      <c r="D1624" s="16" t="s">
        <v>1569</v>
      </c>
      <c r="E1624" s="11" t="s">
        <v>37</v>
      </c>
      <c r="F1624" s="12" t="s">
        <v>1599</v>
      </c>
    </row>
    <row r="1625" spans="1:6" ht="25.5">
      <c r="A1625" s="10" t="str">
        <f>HYPERLINK(SUBSTITUTE(T(hl_0),"{0}","900328427031119"),hn_0)</f>
        <v>ОВ</v>
      </c>
      <c r="B1625" s="9">
        <v>12000</v>
      </c>
      <c r="C1625" s="11" t="s">
        <v>1126</v>
      </c>
      <c r="D1625" s="16" t="s">
        <v>1569</v>
      </c>
      <c r="E1625" s="11" t="s">
        <v>16</v>
      </c>
      <c r="F1625" s="12" t="s">
        <v>1599</v>
      </c>
    </row>
    <row r="1626" spans="1:6" ht="25.5">
      <c r="A1626" s="10" t="str">
        <f>HYPERLINK(SUBSTITUTE(T(hl_0),"{0}","900328427574395"),hn_0)</f>
        <v>ОВ</v>
      </c>
      <c r="B1626" s="9">
        <v>12000</v>
      </c>
      <c r="C1626" s="11" t="s">
        <v>1126</v>
      </c>
      <c r="D1626" s="16" t="s">
        <v>1569</v>
      </c>
      <c r="E1626" s="11" t="s">
        <v>22</v>
      </c>
      <c r="F1626" s="12" t="s">
        <v>1599</v>
      </c>
    </row>
    <row r="1627" spans="1:6" ht="25.5">
      <c r="A1627" s="10" t="str">
        <f>HYPERLINK(SUBSTITUTE(T(hl_0),"{0}","900328427683004"),hn_0)</f>
        <v>ОВ</v>
      </c>
      <c r="B1627" s="9">
        <v>12000</v>
      </c>
      <c r="C1627" s="11" t="s">
        <v>1126</v>
      </c>
      <c r="D1627" s="16" t="s">
        <v>1570</v>
      </c>
      <c r="E1627" s="11" t="s">
        <v>332</v>
      </c>
      <c r="F1627" s="12" t="s">
        <v>1599</v>
      </c>
    </row>
    <row r="1628" spans="1:6" ht="25.5">
      <c r="A1628" s="10" t="str">
        <f>HYPERLINK(SUBSTITUTE(T(hl_0),"{0}","900328427676536"),hn_0)</f>
        <v>ОВ</v>
      </c>
      <c r="B1628" s="9">
        <v>12000</v>
      </c>
      <c r="C1628" s="11" t="s">
        <v>1126</v>
      </c>
      <c r="D1628" s="16" t="s">
        <v>1569</v>
      </c>
      <c r="E1628" s="11" t="s">
        <v>61</v>
      </c>
      <c r="F1628" s="12" t="s">
        <v>1599</v>
      </c>
    </row>
    <row r="1629" spans="1:6" ht="25.5">
      <c r="A1629" s="10" t="str">
        <f>HYPERLINK(SUBSTITUTE(T(hl_0),"{0}","320326323286818"),hn_0)</f>
        <v>ОВ</v>
      </c>
      <c r="B1629" s="9">
        <v>7000</v>
      </c>
      <c r="C1629" s="11" t="s">
        <v>1127</v>
      </c>
      <c r="D1629" s="16" t="s">
        <v>1571</v>
      </c>
      <c r="E1629" s="11" t="s">
        <v>23</v>
      </c>
      <c r="F1629" s="12" t="s">
        <v>1599</v>
      </c>
    </row>
    <row r="1630" spans="1:6" ht="38.25">
      <c r="A1630" s="10" t="str">
        <f>HYPERLINK(SUBSTITUTE(T(hl_0),"{0}","320327095480195"),hn_0)</f>
        <v>ОВ</v>
      </c>
      <c r="B1630" s="9">
        <v>9700</v>
      </c>
      <c r="C1630" s="11" t="s">
        <v>1127</v>
      </c>
      <c r="D1630" s="16" t="s">
        <v>1572</v>
      </c>
      <c r="E1630" s="11" t="s">
        <v>16</v>
      </c>
      <c r="F1630" s="12" t="s">
        <v>1599</v>
      </c>
    </row>
    <row r="1631" spans="1:6" ht="25.5">
      <c r="A1631" s="10" t="str">
        <f>HYPERLINK(SUBSTITUTE(T(hl_0),"{0}","320326323420762"),hn_0)</f>
        <v>ОВ</v>
      </c>
      <c r="B1631" s="9">
        <v>7000</v>
      </c>
      <c r="C1631" s="11" t="s">
        <v>1127</v>
      </c>
      <c r="D1631" s="16" t="s">
        <v>1573</v>
      </c>
      <c r="E1631" s="11" t="s">
        <v>23</v>
      </c>
      <c r="F1631" s="12" t="s">
        <v>1599</v>
      </c>
    </row>
    <row r="1632" spans="1:6" ht="25.5">
      <c r="A1632" s="10" t="str">
        <f>HYPERLINK(SUBSTITUTE(T(hl_0),"{0}","320326323397147"),hn_0)</f>
        <v>ОВ</v>
      </c>
      <c r="B1632" s="9">
        <v>7000</v>
      </c>
      <c r="C1632" s="11" t="s">
        <v>1127</v>
      </c>
      <c r="D1632" s="16" t="s">
        <v>1574</v>
      </c>
      <c r="E1632" s="11" t="s">
        <v>23</v>
      </c>
      <c r="F1632" s="12" t="s">
        <v>1599</v>
      </c>
    </row>
    <row r="1633" spans="1:6" ht="25.5">
      <c r="A1633" s="10" t="str">
        <f>HYPERLINK(SUBSTITUTE(T(hl_0),"{0}","320326323434234"),hn_0)</f>
        <v>ОВ</v>
      </c>
      <c r="B1633" s="9">
        <v>7000</v>
      </c>
      <c r="C1633" s="11" t="s">
        <v>1127</v>
      </c>
      <c r="D1633" s="16" t="s">
        <v>1575</v>
      </c>
      <c r="E1633" s="11" t="s">
        <v>23</v>
      </c>
      <c r="F1633" s="12" t="s">
        <v>1599</v>
      </c>
    </row>
    <row r="1634" spans="1:6" ht="25.5">
      <c r="A1634" s="10" t="str">
        <f>HYPERLINK(SUBSTITUTE(T(hl_0),"{0}","321332146720957"),hn_0)</f>
        <v>ОВ</v>
      </c>
      <c r="B1634" s="9">
        <v>5200</v>
      </c>
      <c r="C1634" s="11" t="s">
        <v>1127</v>
      </c>
      <c r="D1634" s="16" t="s">
        <v>1576</v>
      </c>
      <c r="E1634" s="11" t="s">
        <v>20</v>
      </c>
      <c r="F1634" s="12" t="s">
        <v>1599</v>
      </c>
    </row>
    <row r="1635" spans="1:6" ht="25.5">
      <c r="A1635" s="10" t="str">
        <f>HYPERLINK(SUBSTITUTE(T(hl_0),"{0}","321332146720963"),hn_0)</f>
        <v>ОВ</v>
      </c>
      <c r="B1635" s="9">
        <v>5200</v>
      </c>
      <c r="C1635" s="11" t="s">
        <v>1127</v>
      </c>
      <c r="D1635" s="16" t="s">
        <v>1576</v>
      </c>
      <c r="E1635" s="11" t="s">
        <v>20</v>
      </c>
      <c r="F1635" s="12" t="s">
        <v>1599</v>
      </c>
    </row>
    <row r="1636" spans="1:6" ht="25.5">
      <c r="A1636" s="10" t="str">
        <f>HYPERLINK(SUBSTITUTE(T(hl_0),"{0}","321332146720945"),hn_0)</f>
        <v>ОВ</v>
      </c>
      <c r="B1636" s="9">
        <v>5200</v>
      </c>
      <c r="C1636" s="11" t="s">
        <v>1127</v>
      </c>
      <c r="D1636" s="16" t="s">
        <v>1576</v>
      </c>
      <c r="E1636" s="11" t="s">
        <v>20</v>
      </c>
      <c r="F1636" s="12" t="s">
        <v>1599</v>
      </c>
    </row>
    <row r="1637" spans="1:6" ht="25.5">
      <c r="A1637" s="10" t="str">
        <f>HYPERLINK(SUBSTITUTE(T(hl_0),"{0}","321332146713914"),hn_0)</f>
        <v>ОВ</v>
      </c>
      <c r="B1637" s="9">
        <v>5200</v>
      </c>
      <c r="C1637" s="11" t="s">
        <v>1127</v>
      </c>
      <c r="D1637" s="16" t="s">
        <v>1576</v>
      </c>
      <c r="E1637" s="11" t="s">
        <v>20</v>
      </c>
      <c r="F1637" s="12" t="s">
        <v>1599</v>
      </c>
    </row>
    <row r="1638" spans="1:6" ht="25.5">
      <c r="A1638" s="10" t="str">
        <f>HYPERLINK(SUBSTITUTE(T(hl_0),"{0}","321332146720951"),hn_0)</f>
        <v>ОВ</v>
      </c>
      <c r="B1638" s="9">
        <v>5200</v>
      </c>
      <c r="C1638" s="11" t="s">
        <v>1127</v>
      </c>
      <c r="D1638" s="16" t="s">
        <v>1576</v>
      </c>
      <c r="E1638" s="11" t="s">
        <v>20</v>
      </c>
      <c r="F1638" s="12" t="s">
        <v>1599</v>
      </c>
    </row>
    <row r="1639" spans="1:6" ht="25.5">
      <c r="A1639" s="10" t="str">
        <f>HYPERLINK(SUBSTITUTE(T(hl_0),"{0}","319332251554399"),hn_0)</f>
        <v>ОВ</v>
      </c>
      <c r="B1639" s="9">
        <v>5000</v>
      </c>
      <c r="C1639" s="11" t="s">
        <v>1128</v>
      </c>
      <c r="D1639" s="16" t="s">
        <v>1577</v>
      </c>
      <c r="E1639" s="11" t="s">
        <v>22</v>
      </c>
      <c r="F1639" s="11" t="s">
        <v>1599</v>
      </c>
    </row>
    <row r="1640" spans="1:6" ht="25.5">
      <c r="A1640" s="10" t="str">
        <f>HYPERLINK(SUBSTITUTE(T(hl_0),"{0}","329331534941598"),hn_0)</f>
        <v>ОВ</v>
      </c>
      <c r="B1640" s="9">
        <v>6500</v>
      </c>
      <c r="C1640" s="11" t="s">
        <v>1128</v>
      </c>
      <c r="D1640" s="15" t="s">
        <v>1129</v>
      </c>
      <c r="E1640" s="11" t="s">
        <v>275</v>
      </c>
      <c r="F1640" s="11" t="s">
        <v>1599</v>
      </c>
    </row>
    <row r="1641" spans="1:6" ht="25.5">
      <c r="A1641" s="10" t="str">
        <f>HYPERLINK(SUBSTITUTE(T(hl_0),"{0}","333332173190584"),hn_0)</f>
        <v>ОВ</v>
      </c>
      <c r="B1641" s="9">
        <v>6500</v>
      </c>
      <c r="C1641" s="11" t="s">
        <v>1128</v>
      </c>
      <c r="D1641" s="15" t="s">
        <v>1130</v>
      </c>
      <c r="E1641" s="11" t="s">
        <v>1131</v>
      </c>
      <c r="F1641" s="11" t="s">
        <v>1599</v>
      </c>
    </row>
    <row r="1642" spans="1:6" ht="38.25">
      <c r="A1642" s="10" t="str">
        <f>HYPERLINK(SUBSTITUTE(T(hl_0),"{0}","900325921156315"),hn_0)</f>
        <v>ОВ</v>
      </c>
      <c r="B1642" s="9">
        <v>6000</v>
      </c>
      <c r="C1642" s="11" t="s">
        <v>1132</v>
      </c>
      <c r="D1642" s="15" t="s">
        <v>1133</v>
      </c>
      <c r="E1642" s="11" t="s">
        <v>16</v>
      </c>
      <c r="F1642" s="12" t="s">
        <v>1599</v>
      </c>
    </row>
    <row r="1643" spans="1:6" ht="51">
      <c r="A1643" s="10" t="str">
        <f>HYPERLINK(SUBSTITUTE(T(hl_0),"{0}","329326671496206"),hn_0)</f>
        <v>ОВ</v>
      </c>
      <c r="B1643" s="9">
        <v>6000</v>
      </c>
      <c r="C1643" s="11" t="s">
        <v>1134</v>
      </c>
      <c r="D1643" s="15" t="s">
        <v>1135</v>
      </c>
      <c r="E1643" s="11" t="s">
        <v>1136</v>
      </c>
      <c r="F1643" s="11" t="s">
        <v>1599</v>
      </c>
    </row>
    <row r="1644" spans="1:6" ht="25.5">
      <c r="A1644" s="10" t="str">
        <f>HYPERLINK(SUBSTITUTE(T(hl_0),"{0}","319332251566867"),hn_0)</f>
        <v>ОВ</v>
      </c>
      <c r="B1644" s="9">
        <v>5000</v>
      </c>
      <c r="C1644" s="11" t="s">
        <v>1137</v>
      </c>
      <c r="D1644" s="16" t="s">
        <v>1578</v>
      </c>
      <c r="E1644" s="11" t="s">
        <v>22</v>
      </c>
      <c r="F1644" s="11" t="s">
        <v>1599</v>
      </c>
    </row>
    <row r="1645" spans="1:6" ht="38.25">
      <c r="A1645" s="10" t="str">
        <f>HYPERLINK(SUBSTITUTE(T(hl_0),"{0}","320327095543021"),hn_0)</f>
        <v>ОВ</v>
      </c>
      <c r="B1645" s="9">
        <v>9500</v>
      </c>
      <c r="C1645" s="11" t="s">
        <v>1137</v>
      </c>
      <c r="D1645" s="16" t="s">
        <v>1579</v>
      </c>
      <c r="E1645" s="11" t="s">
        <v>16</v>
      </c>
      <c r="F1645" s="12" t="s">
        <v>1599</v>
      </c>
    </row>
    <row r="1646" spans="1:6" ht="51">
      <c r="A1646" s="10" t="str">
        <f>HYPERLINK(SUBSTITUTE(T(hl_0),"{0}","321330685752110"),hn_0)</f>
        <v>ОВ</v>
      </c>
      <c r="B1646" s="9">
        <v>5500</v>
      </c>
      <c r="C1646" s="11" t="s">
        <v>1137</v>
      </c>
      <c r="D1646" s="16" t="s">
        <v>1580</v>
      </c>
      <c r="E1646" s="11" t="s">
        <v>20</v>
      </c>
      <c r="F1646" s="12" t="s">
        <v>1599</v>
      </c>
    </row>
    <row r="1647" spans="1:6" ht="51">
      <c r="A1647" s="10" t="str">
        <f>HYPERLINK(SUBSTITUTE(T(hl_0),"{0}","321330685770759"),hn_0)</f>
        <v>ОВ</v>
      </c>
      <c r="B1647" s="9">
        <v>5500</v>
      </c>
      <c r="C1647" s="11" t="s">
        <v>1137</v>
      </c>
      <c r="D1647" s="16" t="s">
        <v>1581</v>
      </c>
      <c r="E1647" s="11" t="s">
        <v>20</v>
      </c>
      <c r="F1647" s="12" t="s">
        <v>1599</v>
      </c>
    </row>
    <row r="1648" spans="1:6" ht="51">
      <c r="A1648" s="10" t="str">
        <f>HYPERLINK(SUBSTITUTE(T(hl_0),"{0}","321330661872559"),hn_0)</f>
        <v>ОВ</v>
      </c>
      <c r="B1648" s="9">
        <v>5500</v>
      </c>
      <c r="C1648" s="11" t="s">
        <v>1137</v>
      </c>
      <c r="D1648" s="16" t="s">
        <v>1582</v>
      </c>
      <c r="E1648" s="11" t="s">
        <v>20</v>
      </c>
      <c r="F1648" s="12" t="s">
        <v>1599</v>
      </c>
    </row>
    <row r="1649" spans="1:6" ht="63.75">
      <c r="A1649" s="10" t="str">
        <f>HYPERLINK(SUBSTITUTE(T(hl_0),"{0}","323331702355304"),hn_0)</f>
        <v>ОВ</v>
      </c>
      <c r="B1649" s="9">
        <v>5500</v>
      </c>
      <c r="C1649" s="11" t="s">
        <v>1137</v>
      </c>
      <c r="D1649" s="16" t="s">
        <v>1583</v>
      </c>
      <c r="E1649" s="11" t="s">
        <v>1138</v>
      </c>
      <c r="F1649" s="11" t="s">
        <v>1599</v>
      </c>
    </row>
    <row r="1650" spans="1:6" ht="51">
      <c r="A1650" s="10" t="str">
        <f>HYPERLINK(SUBSTITUTE(T(hl_0),"{0}","323331702302026"),hn_0)</f>
        <v>ОВ</v>
      </c>
      <c r="B1650" s="9">
        <v>5500</v>
      </c>
      <c r="C1650" s="11" t="s">
        <v>1137</v>
      </c>
      <c r="D1650" s="16" t="s">
        <v>1584</v>
      </c>
      <c r="E1650" s="11" t="s">
        <v>1138</v>
      </c>
      <c r="F1650" s="11" t="s">
        <v>1599</v>
      </c>
    </row>
    <row r="1651" spans="1:6" ht="51">
      <c r="A1651" s="10" t="str">
        <f>HYPERLINK(SUBSTITUTE(T(hl_0),"{0}","323331849440119"),hn_0)</f>
        <v>ОВ</v>
      </c>
      <c r="B1651" s="9">
        <v>5500</v>
      </c>
      <c r="C1651" s="11" t="s">
        <v>1137</v>
      </c>
      <c r="D1651" s="16" t="s">
        <v>1585</v>
      </c>
      <c r="E1651" s="11" t="s">
        <v>1139</v>
      </c>
      <c r="F1651" s="11" t="s">
        <v>1599</v>
      </c>
    </row>
    <row r="1652" spans="1:6" ht="25.5">
      <c r="A1652" s="10" t="str">
        <f>HYPERLINK(SUBSTITUTE(T(hl_0),"{0}","327332078169127"),hn_0)</f>
        <v>ОВ</v>
      </c>
      <c r="B1652" s="9">
        <v>7000</v>
      </c>
      <c r="C1652" s="11" t="s">
        <v>1137</v>
      </c>
      <c r="D1652" s="15" t="s">
        <v>1140</v>
      </c>
      <c r="E1652" s="11" t="s">
        <v>1141</v>
      </c>
      <c r="F1652" s="12" t="s">
        <v>1599</v>
      </c>
    </row>
    <row r="1653" spans="1:6" ht="25.5">
      <c r="A1653" s="10" t="str">
        <f>HYPERLINK(SUBSTITUTE(T(hl_0),"{0}","327332079154385"),hn_0)</f>
        <v>ОВ</v>
      </c>
      <c r="B1653" s="9">
        <v>4723</v>
      </c>
      <c r="C1653" s="11" t="s">
        <v>1137</v>
      </c>
      <c r="D1653" s="15" t="s">
        <v>1142</v>
      </c>
      <c r="E1653" s="11" t="s">
        <v>1143</v>
      </c>
      <c r="F1653" s="12" t="s">
        <v>1599</v>
      </c>
    </row>
    <row r="1654" spans="1:6" ht="25.5">
      <c r="A1654" s="10" t="str">
        <f>HYPERLINK(SUBSTITUTE(T(hl_0),"{0}","329331534873267"),hn_0)</f>
        <v>ОВ</v>
      </c>
      <c r="B1654" s="9">
        <v>6500</v>
      </c>
      <c r="C1654" s="11" t="s">
        <v>1137</v>
      </c>
      <c r="D1654" s="15" t="s">
        <v>1144</v>
      </c>
      <c r="E1654" s="11" t="s">
        <v>1145</v>
      </c>
      <c r="F1654" s="11" t="s">
        <v>1599</v>
      </c>
    </row>
    <row r="1655" spans="1:6" ht="25.5">
      <c r="A1655" s="10" t="str">
        <f>HYPERLINK(SUBSTITUTE(T(hl_0),"{0}","330332079051746"),hn_0)</f>
        <v>ОВ</v>
      </c>
      <c r="B1655" s="9">
        <v>4800</v>
      </c>
      <c r="C1655" s="11" t="s">
        <v>1137</v>
      </c>
      <c r="D1655" s="16" t="s">
        <v>1586</v>
      </c>
      <c r="E1655" s="11" t="s">
        <v>1146</v>
      </c>
      <c r="F1655" s="11" t="s">
        <v>1599</v>
      </c>
    </row>
    <row r="1656" spans="1:6" ht="25.5">
      <c r="A1656" s="10" t="str">
        <f>HYPERLINK(SUBSTITUTE(T(hl_0),"{0}","330332145819395"),hn_0)</f>
        <v>ОВ</v>
      </c>
      <c r="B1656" s="9">
        <v>4800</v>
      </c>
      <c r="C1656" s="11" t="s">
        <v>1137</v>
      </c>
      <c r="D1656" s="16" t="s">
        <v>1587</v>
      </c>
      <c r="E1656" s="11" t="s">
        <v>1146</v>
      </c>
      <c r="F1656" s="11" t="s">
        <v>1599</v>
      </c>
    </row>
    <row r="1657" spans="1:6" ht="25.5">
      <c r="A1657" s="10" t="str">
        <f>HYPERLINK(SUBSTITUTE(T(hl_0),"{0}","330332053514526"),hn_0)</f>
        <v>ОВ</v>
      </c>
      <c r="B1657" s="9">
        <v>7000</v>
      </c>
      <c r="C1657" s="11" t="s">
        <v>1137</v>
      </c>
      <c r="D1657" s="16" t="s">
        <v>1588</v>
      </c>
      <c r="E1657" s="11" t="s">
        <v>1146</v>
      </c>
      <c r="F1657" s="11" t="s">
        <v>1599</v>
      </c>
    </row>
    <row r="1658" spans="1:6" ht="25.5">
      <c r="A1658" s="10" t="str">
        <f>HYPERLINK(SUBSTITUTE(T(hl_0),"{0}","330332220370494"),hn_0)</f>
        <v>ОВ</v>
      </c>
      <c r="B1658" s="9">
        <v>4800</v>
      </c>
      <c r="C1658" s="11" t="s">
        <v>1137</v>
      </c>
      <c r="D1658" s="16" t="s">
        <v>1589</v>
      </c>
      <c r="E1658" s="11" t="s">
        <v>1146</v>
      </c>
      <c r="F1658" s="11" t="s">
        <v>1599</v>
      </c>
    </row>
    <row r="1659" spans="1:6" ht="25.5">
      <c r="A1659" s="10" t="str">
        <f>HYPERLINK(SUBSTITUTE(T(hl_0),"{0}","331331844009757"),hn_0)</f>
        <v>ОВ</v>
      </c>
      <c r="B1659" s="9">
        <v>5000</v>
      </c>
      <c r="C1659" s="11" t="s">
        <v>1137</v>
      </c>
      <c r="D1659" s="15" t="s">
        <v>1147</v>
      </c>
      <c r="E1659" s="11" t="s">
        <v>1148</v>
      </c>
      <c r="F1659" s="11" t="s">
        <v>1599</v>
      </c>
    </row>
    <row r="1660" spans="1:6" ht="25.5">
      <c r="A1660" s="10" t="str">
        <f>HYPERLINK(SUBSTITUTE(T(hl_0),"{0}","900331624921628"),hn_0)</f>
        <v>ОВ</v>
      </c>
      <c r="B1660" s="9">
        <v>4723</v>
      </c>
      <c r="C1660" s="11" t="s">
        <v>1137</v>
      </c>
      <c r="D1660" s="15" t="s">
        <v>1149</v>
      </c>
      <c r="E1660" s="11" t="s">
        <v>16</v>
      </c>
      <c r="F1660" s="12" t="s">
        <v>1599</v>
      </c>
    </row>
    <row r="1661" spans="1:6" ht="25.5">
      <c r="A1661" s="10" t="str">
        <f>HYPERLINK(SUBSTITUTE(T(hl_0),"{0}","320332198006220"),hn_0)</f>
        <v>ОВ</v>
      </c>
      <c r="B1661" s="9">
        <v>10184</v>
      </c>
      <c r="C1661" s="11" t="s">
        <v>1150</v>
      </c>
      <c r="D1661" s="16" t="s">
        <v>1590</v>
      </c>
      <c r="E1661" s="11" t="s">
        <v>23</v>
      </c>
      <c r="F1661" s="12" t="s">
        <v>1599</v>
      </c>
    </row>
    <row r="1662" spans="1:6" ht="12.75">
      <c r="A1662" s="10" t="str">
        <f>HYPERLINK(SUBSTITUTE(T(hl_0),"{0}","328332252097246"),hn_0)</f>
        <v>ОВ</v>
      </c>
      <c r="B1662" s="9">
        <v>4813</v>
      </c>
      <c r="C1662" s="11" t="s">
        <v>1150</v>
      </c>
      <c r="D1662" s="15" t="s">
        <v>1151</v>
      </c>
      <c r="E1662" s="11" t="s">
        <v>61</v>
      </c>
      <c r="F1662" s="11" t="s">
        <v>1599</v>
      </c>
    </row>
    <row r="1663" spans="1:6" ht="12.75">
      <c r="A1663" s="10" t="str">
        <f>HYPERLINK(SUBSTITUTE(T(hl_0),"{0}","328332252096519"),hn_0)</f>
        <v>ОВ</v>
      </c>
      <c r="B1663" s="9">
        <v>4813</v>
      </c>
      <c r="C1663" s="11" t="s">
        <v>1150</v>
      </c>
      <c r="D1663" s="15" t="s">
        <v>1151</v>
      </c>
      <c r="E1663" s="11" t="s">
        <v>61</v>
      </c>
      <c r="F1663" s="11" t="s">
        <v>1599</v>
      </c>
    </row>
    <row r="1664" spans="1:6" ht="12.75">
      <c r="A1664" s="10" t="str">
        <f>HYPERLINK(SUBSTITUTE(T(hl_0),"{0}","900332220464822"),hn_0)</f>
        <v>ОВ</v>
      </c>
      <c r="B1664" s="9">
        <v>4723</v>
      </c>
      <c r="C1664" s="11" t="s">
        <v>1150</v>
      </c>
      <c r="D1664" s="15" t="s">
        <v>1152</v>
      </c>
      <c r="E1664" s="11" t="s">
        <v>16</v>
      </c>
      <c r="F1664" s="12" t="s">
        <v>1598</v>
      </c>
    </row>
    <row r="1665" spans="1:6" ht="12.75">
      <c r="A1665" s="10" t="str">
        <f>HYPERLINK(SUBSTITUTE(T(hl_0),"{0}","900331029163814"),hn_0)</f>
        <v>ОВ</v>
      </c>
      <c r="B1665" s="9">
        <v>5700</v>
      </c>
      <c r="C1665" s="11" t="s">
        <v>1150</v>
      </c>
      <c r="D1665" s="15" t="s">
        <v>1153</v>
      </c>
      <c r="E1665" s="11" t="s">
        <v>16</v>
      </c>
      <c r="F1665" s="12" t="s">
        <v>1598</v>
      </c>
    </row>
    <row r="1666" spans="1:6" ht="25.5">
      <c r="A1666" s="10" t="str">
        <f>HYPERLINK(SUBSTITUTE(T(hl_0),"{0}","330331874096090"),hn_0)</f>
        <v>ОВ</v>
      </c>
      <c r="B1666" s="9">
        <v>10000</v>
      </c>
      <c r="C1666" s="11" t="s">
        <v>1154</v>
      </c>
      <c r="D1666" s="16" t="s">
        <v>1591</v>
      </c>
      <c r="E1666" s="11" t="s">
        <v>45</v>
      </c>
      <c r="F1666" s="12" t="s">
        <v>1601</v>
      </c>
    </row>
  </sheetData>
  <sheetProtection/>
  <autoFilter ref="B1:F1667"/>
  <printOptions/>
  <pageMargins left="0.75" right="0.75" top="1" bottom="1" header="0.5" footer="0.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D3"/>
  <sheetViews>
    <sheetView zoomScalePageLayoutView="0" workbookViewId="0" topLeftCell="A1">
      <selection activeCell="A1" sqref="A1"/>
    </sheetView>
  </sheetViews>
  <sheetFormatPr defaultColWidth="9.140625" defaultRowHeight="12.75"/>
  <cols>
    <col min="1" max="1" width="43.28125" style="0" bestFit="1" customWidth="1"/>
    <col min="2" max="2" width="12.28125" style="0" bestFit="1" customWidth="1"/>
    <col min="3" max="3" width="48.7109375" style="0" bestFit="1" customWidth="1"/>
    <col min="4" max="4" width="16.140625" style="0" bestFit="1" customWidth="1"/>
  </cols>
  <sheetData>
    <row r="1" spans="1:4" ht="12.75">
      <c r="A1" s="1" t="s">
        <v>1</v>
      </c>
      <c r="B1" s="1" t="s">
        <v>0</v>
      </c>
      <c r="C1" s="1" t="s">
        <v>2</v>
      </c>
      <c r="D1" s="1" t="s">
        <v>3</v>
      </c>
    </row>
    <row r="2" spans="1:3" ht="12.75">
      <c r="A2" s="3" t="s">
        <v>1155</v>
      </c>
      <c r="B2" s="4" t="s">
        <v>1156</v>
      </c>
      <c r="C2" s="2" t="s">
        <v>1157</v>
      </c>
    </row>
    <row r="3" spans="1:3" ht="25.5">
      <c r="A3" s="3" t="s">
        <v>1158</v>
      </c>
      <c r="B3" s="4" t="s">
        <v>1156</v>
      </c>
      <c r="C3" s="2" t="s">
        <v>1159</v>
      </c>
    </row>
  </sheetData>
  <sheetProtection/>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Користувач Windows</cp:lastModifiedBy>
  <dcterms:created xsi:type="dcterms:W3CDTF">2020-08-17T08:19:16Z</dcterms:created>
  <dcterms:modified xsi:type="dcterms:W3CDTF">2020-08-17T13:31:05Z</dcterms:modified>
  <cp:category/>
  <cp:version/>
  <cp:contentType/>
  <cp:contentStatus/>
</cp:coreProperties>
</file>