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8075" windowHeight="9900" activeTab="0"/>
  </bookViews>
  <sheets>
    <sheet name="Відібрано записів - 2289" sheetId="1" r:id="rId1"/>
    <sheet name="Фільтри" sheetId="2" r:id="rId2"/>
  </sheets>
  <definedNames>
    <definedName name="_firstRow">'Відібрано записів - 2289'!$F$5</definedName>
    <definedName name="_lastColumn">'Відібрано записів - 2289'!$F$6</definedName>
    <definedName name="_xlnm._FilterDatabase" localSheetId="0" hidden="1">'Відібрано записів - 2289'!$B$1:$E$2248</definedName>
    <definedName name="hl_0">'Відібрано записів - 2289'!$F$8</definedName>
    <definedName name="hn_0">'Відібрано записів - 2289'!$F$9</definedName>
  </definedNames>
  <calcPr fullCalcOnLoad="1"/>
</workbook>
</file>

<file path=xl/sharedStrings.xml><?xml version="1.0" encoding="utf-8"?>
<sst xmlns="http://schemas.openxmlformats.org/spreadsheetml/2006/main" count="6752" uniqueCount="644">
  <si>
    <t>Порівняння</t>
  </si>
  <si>
    <t>Назва фільтру</t>
  </si>
  <si>
    <t>Перше значення</t>
  </si>
  <si>
    <t>Друге значення</t>
  </si>
  <si>
    <t>ОВ</t>
  </si>
  <si>
    <t>Посада (назва) / Характеристика вакансії</t>
  </si>
  <si>
    <t>Заробітна плата / Оперативні вакансії</t>
  </si>
  <si>
    <t>Місце проведення робіт / Оперативні вакансії</t>
  </si>
  <si>
    <t>ЦЗ реєстрації (назва) / Оперативні вакансії</t>
  </si>
  <si>
    <t>http://10.1.0.164/dczeias/Lnk.aspx?t=VACCard&amp;k=FormSearch&amp;c=Edit&amp;n.ID={0}&amp;n.IsVacID=1&amp;Excel=1</t>
  </si>
  <si>
    <t>оператор сушильних установок</t>
  </si>
  <si>
    <t>0710100000, Волинська область, Луцьк</t>
  </si>
  <si>
    <t>ЛУЦЬКА РАЙОННА ФІЛІЯ ВОЛИНСЬКОГО ОБЛАСНОГО ЦЕНТРУ ЗАЙНЯТОСТІ</t>
  </si>
  <si>
    <t>столяр</t>
  </si>
  <si>
    <t>0710700000, Волинська область, Нововолинськ</t>
  </si>
  <si>
    <t>НОВОВОЛИНСЬКА МІСЬКА ФІЛІЯ ВОЛИНСЬКОГО ОБЛАСНОГО ЦЕНТРУ ЗАЙНЯТОСТІ</t>
  </si>
  <si>
    <t>0710200000, Волинська область, Володимир-Волинський</t>
  </si>
  <si>
    <t>ВОЛОДИМИР-ВОЛИНСЬКА МІСЬКРАЙОННА ФІЛІЯ ВОЛИНСЬКОГО ОБЛАСНОГО ЦЕНТРУ ЗАЙНЯТОСТІ</t>
  </si>
  <si>
    <t>0710400000, Волинська область, Ковель</t>
  </si>
  <si>
    <t>КОВЕЛЬСЬКИЙ МРЦЗ</t>
  </si>
  <si>
    <t>ЛУЦЬКИЙ МІСЬКИЙ ЦЕНТР ЗАЙНЯТОСТІ</t>
  </si>
  <si>
    <t>комплектувальник меблів</t>
  </si>
  <si>
    <t>заточувальник деревообробного інструменту</t>
  </si>
  <si>
    <t>0722155700, Волинська область, Ковельський район, Люблинець</t>
  </si>
  <si>
    <t>шліфувальник по дереву</t>
  </si>
  <si>
    <t>верстатник деревообробних верстатів</t>
  </si>
  <si>
    <t>0721883601, Волинська область, Ківерцівський район, Звірів</t>
  </si>
  <si>
    <t>КІВЕРЦІВСЬКА РАЙОННА ФІЛІЯ ВОЛИНСЬКОГО ОБЛАСНОГО ЦЕНТРУ ЗАЙНЯТОСТІ</t>
  </si>
  <si>
    <t>0723685501, Волинська область, Маневицький район, Прилісне</t>
  </si>
  <si>
    <t>МАНЕВИЦЬКА РАЙОННА ФІЛІЯ ВОЛИНСЬКОГО ОБЛАСНОГО ЦЕНТРУ ЗАЙНЯТОСТІ</t>
  </si>
  <si>
    <t>0724510100, Волинська область, Рожищенський район, Рожище</t>
  </si>
  <si>
    <t>РОЖИЩЕНСЬКА РАЙОННА ФІЛІЯ ВОЛИНСЬКОГО ОБЛАСНОГО ЦЕНТРУ ЗАЙНЯТОСТІ</t>
  </si>
  <si>
    <t>Випалювач вапна</t>
  </si>
  <si>
    <t>оператор завантажувальної та розвантажувальної установки</t>
  </si>
  <si>
    <t>0721810100, Волинська область, Ківерцівський район, Ківерці</t>
  </si>
  <si>
    <t>слюсар з експлуатації та ремонту підземнихгазопроводів</t>
  </si>
  <si>
    <t>0720810100, Волинська область, Горохівський район, Горохів</t>
  </si>
  <si>
    <t>0724255100, Волинська область, Ратнівський район, Ратне</t>
  </si>
  <si>
    <t>слюсар-сантехнік</t>
  </si>
  <si>
    <t>0722481201, Волинська область, Локачинський район, Війниця</t>
  </si>
  <si>
    <t>ЛОКАЧИНСЬКА РАЙОННА ФІЛІЯ ВОЛИНСЬКОГО ОБЛАСНОГО ЦЕНТРУ ЗАЙНЯТОСТІ</t>
  </si>
  <si>
    <t>0722884803, Волинська область, Луцький район, Струмівка</t>
  </si>
  <si>
    <t>0723310100, Волинська область, Любомльський район, Любомль</t>
  </si>
  <si>
    <t>ЛЮБОМЛЬСЬКА РАЙОННА ФІЛІЯ ВОЛИНСЬКОГО ОБЛАСНОГО ЦЕНТРУ ЗАЙНЯТОСТІ</t>
  </si>
  <si>
    <t>0723655100, Волинська область, Маневицький район, Маневичі</t>
  </si>
  <si>
    <t>фарбувальник приладів і деталей</t>
  </si>
  <si>
    <t>0720855700, Волинська область, Горохівський район, Сенкевичівка</t>
  </si>
  <si>
    <t>ГОРОХІВСЬКА РАЙОННА ФІЛІЯ ВОЛИНСЬКОГО ОБЛАСНОГО ЦЕНТРУ ЗАЙНЯТОСТІ</t>
  </si>
  <si>
    <t>електрозварник на автоматичних та напівавтоматичних машинах</t>
  </si>
  <si>
    <t>0724587201, Волинська область, Рожищенський район, Щурин</t>
  </si>
  <si>
    <t>бляхар</t>
  </si>
  <si>
    <t>рихтувальник кузовів</t>
  </si>
  <si>
    <t>машиніст видувних машин</t>
  </si>
  <si>
    <t>0722883401, Волинська область, Луцький район, Липини</t>
  </si>
  <si>
    <t>машиніст мийних машин</t>
  </si>
  <si>
    <t>монтажник систем вентиляції, кондиціювання повітря, пневмотранспорту й аспірації</t>
  </si>
  <si>
    <t>слюсар аварійно-відбудовних робіт</t>
  </si>
  <si>
    <t>0723155100, Волинська область, Любешівський район, Любешів</t>
  </si>
  <si>
    <t>ЛЮБЕШІВСЬКА РАЙОННА ФІЛІЯ ВОЛИНСЬКОГО ОБЛАСНОГО ЦЕНТРУ ЗАЙНЯТОСТІ</t>
  </si>
  <si>
    <t>слюсар з механоскладальних робіт</t>
  </si>
  <si>
    <t>слюсар з ремонту та обслуговування систем вентиляції та кондиціювання</t>
  </si>
  <si>
    <t>слюсар з ремонту рухомого складу</t>
  </si>
  <si>
    <t>слюсар з ремонту сільськогосподарських машин та устаткування</t>
  </si>
  <si>
    <t>0722484601, Волинська область, Локачинський район, Привітне</t>
  </si>
  <si>
    <t>слюсар з експлуатації та ремонту газового устаткування</t>
  </si>
  <si>
    <t>лаборант-мікробіолог</t>
  </si>
  <si>
    <t>пресувальник папероробної (картоноробної) машини</t>
  </si>
  <si>
    <t>оператор заправних станцій</t>
  </si>
  <si>
    <t>5625410100, Рівненська область, Сарненський район, Сарни</t>
  </si>
  <si>
    <t>0725555400, Волинська область, Турійський район, Луків</t>
  </si>
  <si>
    <t>5110300000, Одеська область, Білгород-Дністровський</t>
  </si>
  <si>
    <t>8038900000, М.Київ, Солом'янський</t>
  </si>
  <si>
    <t>5110100000, Одеська область, Одеса</t>
  </si>
  <si>
    <t>5121083901, Одеська область, Біляївський район, Маяки</t>
  </si>
  <si>
    <t>4625810500, Львівська область, Яворівський район, Новояворівськ</t>
  </si>
  <si>
    <t>4823955100, Миколаївська область, Кривоозерський район, Криве Озеро</t>
  </si>
  <si>
    <t>5324885405, Полтавська область, Хорольський район, Глибока Долина</t>
  </si>
  <si>
    <t>5121085201, Одеська область, Біляївський район, Усатове</t>
  </si>
  <si>
    <t>6121210100, Тернопільська область, Бучацький район, Бучач</t>
  </si>
  <si>
    <t>8036600000, М.Київ, Дніпровський</t>
  </si>
  <si>
    <t>8038000000, М.Київ, Оболонський</t>
  </si>
  <si>
    <t>8036100000, М.Київ, Голосіївський</t>
  </si>
  <si>
    <t>5121084201, Одеська область, Біляївський район, Нерубайське</t>
  </si>
  <si>
    <t>1221486204, Дніпропетровська область, Дніпровський район, Дороге</t>
  </si>
  <si>
    <t>6810100000, Хмельницька область, Хмельницький</t>
  </si>
  <si>
    <t>0520688906, Вінницька область, Вінницький район, Зарванці</t>
  </si>
  <si>
    <t>5111700000, Одеська область, Южне</t>
  </si>
  <si>
    <t>2623685801, Івано-Франківська область, Косівський район, Смодна</t>
  </si>
  <si>
    <t>4824280401, Миколаївська область, Миколаївський район, Весняне</t>
  </si>
  <si>
    <t>2622055300, Івано-Франківська область, Долинський район, Вигода</t>
  </si>
  <si>
    <t>3221483001, Київська область, Васильківський район, Здорівка</t>
  </si>
  <si>
    <t>5110600000, Одеська область, Ізмаїл</t>
  </si>
  <si>
    <t>8038600000, М.Київ, Святошинський</t>
  </si>
  <si>
    <t>6125281701, Тернопільська область, Тернопільський район, Великі Гаї</t>
  </si>
  <si>
    <t>6325157900, Харківська область, Харківський район, Пісочин</t>
  </si>
  <si>
    <t>1221486205, Дніпропетровська область, Дніпровський район, Дослідне</t>
  </si>
  <si>
    <t>4810137200, Миколаївська область, Миколаїв, Центральний</t>
  </si>
  <si>
    <t>4610100000, Львівська область, Львів</t>
  </si>
  <si>
    <t>2322155300, Запорізька область, Запорізький район, Балабине</t>
  </si>
  <si>
    <t>8039100000, М.Київ, Шевченківський</t>
  </si>
  <si>
    <t>2110100000, Закарпатська область, Ужгород</t>
  </si>
  <si>
    <t>1221455800, Дніпропетровська область, Дніпровський район, Слобожанське</t>
  </si>
  <si>
    <t>1210138400, Дніпропетровська область, Дніпро, Самарський</t>
  </si>
  <si>
    <t>5122782603, Одеська область, Лиманський район, Корсунці</t>
  </si>
  <si>
    <t>8036400000, М.Київ, Деснянський</t>
  </si>
  <si>
    <t>1822084101, Житомирська область, Житомирський район, Левків</t>
  </si>
  <si>
    <t>3221810100, Київська область, Вишгородський район, Вишгород</t>
  </si>
  <si>
    <t>1220387708, Дніпропетровська область, Апостолівський район, Зоряне</t>
  </si>
  <si>
    <t>6322083001, Харківська область, Дергачівський район, Черкаська Лозова</t>
  </si>
  <si>
    <t>2310136600, Запорізька область, Запоріжжя, Заводський</t>
  </si>
  <si>
    <t>0521083003, Вінницька область, Жмеринський район, Коростівці</t>
  </si>
  <si>
    <t>0523010100, Вінницька область, Немирівський район, Немирів</t>
  </si>
  <si>
    <t>2123655500, Закарпатська область, Рахівський район, Великий Бичків</t>
  </si>
  <si>
    <t>5624680701, Рівненська область, Рівненський район, Біла Криниця</t>
  </si>
  <si>
    <t>2320910100, Запорізька область, Василівський район, Василівка</t>
  </si>
  <si>
    <t>5110137500, Одеська область, Одеса, Приморський</t>
  </si>
  <si>
    <t>4623686601, Львівська область, Пустомитівський район, Солонка</t>
  </si>
  <si>
    <t>2310137300, Запорізька область, Запоріжжя, Хортицький</t>
  </si>
  <si>
    <t>5621685601, Рівненська область, Дубенський район, Привільне</t>
  </si>
  <si>
    <t>5323810100, Полтавська область, Пирятинський район, Пирятин</t>
  </si>
  <si>
    <t>2310137200, Запорізька область, Запоріжжя, ВОЗНЕСЕНІВСЬКИЙ</t>
  </si>
  <si>
    <t>1824084001, Житомирська область, Новоград-Волинський район, Нова Романівка</t>
  </si>
  <si>
    <t>7321085401, Чернівецька область, Глибоцький район, Тереблече</t>
  </si>
  <si>
    <t>1822082001, Житомирська область, Житомирський район, Глибочиця</t>
  </si>
  <si>
    <t>5324085203, Полтавська область, Полтавський район, Говтвянчик</t>
  </si>
  <si>
    <t>4625887501, Львівська область, Яворівський район, Рясне-Руське</t>
  </si>
  <si>
    <t>5910100000, Сумська область, Суми</t>
  </si>
  <si>
    <t>1811000000, Житомирська область, Новоград-Волинський</t>
  </si>
  <si>
    <t>2111000000, Закарпатська область, Чоп</t>
  </si>
  <si>
    <t>5123182500, Одеська область, Окнянський район, МАЯКІВСЬКА/С.МАЯКИ</t>
  </si>
  <si>
    <t>5310400000, Полтавська область, Кременчук</t>
  </si>
  <si>
    <t>6825089601, Хмельницька область, Хмельницький район, Шаровечка</t>
  </si>
  <si>
    <t>1810700000, Житомирська область, Коростень</t>
  </si>
  <si>
    <t>8036300000, М.Київ, Дарницький</t>
  </si>
  <si>
    <t>6823055100, Хмельницька область, Летичівський район, Летичів</t>
  </si>
  <si>
    <t>2310136700, Запорізька область, Запоріжжя, Комунарський</t>
  </si>
  <si>
    <t>4622710200, Львівська область, Жовківський район, Дубляни</t>
  </si>
  <si>
    <t>5321810100, Полтавська область, Кобеляцький район, Кобеляки</t>
  </si>
  <si>
    <t>6823655400, Хмельницька область, Полонський район, Понінка</t>
  </si>
  <si>
    <t>3222457400, Київська область, Києво-Святошинський район, Чабани</t>
  </si>
  <si>
    <t>2610100000, Івано-Франківська область, Івано-Франківськ</t>
  </si>
  <si>
    <t>6310100000, Харківська область, Харків</t>
  </si>
  <si>
    <t>0520681003, Вінницька область, Вінницький район, Вінницькі Хутори</t>
  </si>
  <si>
    <t>1223587505, Дніпропетровська область, Павлоградський район, Привовчанське</t>
  </si>
  <si>
    <t>1210136900, Дніпропетровська область, Дніпро, Соборний</t>
  </si>
  <si>
    <t>7310100000, Чернівецька область, Чернівці</t>
  </si>
  <si>
    <t>5110136900, Одеська область, Одеса, Київський</t>
  </si>
  <si>
    <t>1810100000, Житомирська область, Житомир</t>
  </si>
  <si>
    <t>4810136600, Миколаївська область, Миколаїв, Корабельний</t>
  </si>
  <si>
    <t>5110137300, Одеська область, Одеса, Малинівський</t>
  </si>
  <si>
    <t>3224410100, Київська область, Таращанський район, Тараща</t>
  </si>
  <si>
    <t>2122755500, Закарпатська область, Мукачівський район, Чинадійово</t>
  </si>
  <si>
    <t>2620488602, Івано-Франківська область, Богородчанський район, Скобичівка</t>
  </si>
  <si>
    <t>6825087201, Хмельницька область, Хмельницький район, Розсоша</t>
  </si>
  <si>
    <t>6525010100, Херсонська область, Олешківський район, Олешки</t>
  </si>
  <si>
    <t>6124684701, Тернопільська область, Підволочиський район, Мислова</t>
  </si>
  <si>
    <t>1822382402, Житомирська область, Коростенський район, Клочеве</t>
  </si>
  <si>
    <t>4610136600, Львівська область, Львів, Галицький</t>
  </si>
  <si>
    <t>2625888601, Івано-Франківська область, Тисменицький район, Ямниця</t>
  </si>
  <si>
    <t>5121084203, Одеська область, Біляївський район, Усатове</t>
  </si>
  <si>
    <t>5110137600, Одеська область, Одеса, Суворівський</t>
  </si>
  <si>
    <t>1223581801, Дніпропетровська область, Павлоградський район, Богуслав</t>
  </si>
  <si>
    <t>1210137200, Дніпропетровська область, Дніпро, Індустріальний</t>
  </si>
  <si>
    <t>7422083301, Чернігівська область, Козелецький район, Кіпті</t>
  </si>
  <si>
    <t>4622410100, Львівська область, Мостиський район, Мостиська</t>
  </si>
  <si>
    <t>8038500000, М.Київ, Подільський</t>
  </si>
  <si>
    <t>1223281505, Дніпропетровська область, Новомосковський район, Хащеве</t>
  </si>
  <si>
    <t>5310100000, Полтавська область, Полтава</t>
  </si>
  <si>
    <t>2623286001, Івано-Франківська область, Коломийський район, Раківчик</t>
  </si>
  <si>
    <t>6110700000, Тернопільська область, Кременець</t>
  </si>
  <si>
    <t>4622182605, Львівська область, Кам'янка-Бузький район, Сапіжанка</t>
  </si>
  <si>
    <t>6824785002, Хмельницька область, Теофіпольський район, Коров'є</t>
  </si>
  <si>
    <t>6120810100, Тернопільська область, Борщівський район, Борщів</t>
  </si>
  <si>
    <t>2323084001, Запорізька область, Мелітопольський район, Семенівка</t>
  </si>
  <si>
    <t>4625382001, Львівська область, Стрийський район, Дуліби</t>
  </si>
  <si>
    <t>0720882801, Волинська область, Горохівський район, Колодеже</t>
  </si>
  <si>
    <t>4810136300, Миколаївська область, Миколаїв, Заводський</t>
  </si>
  <si>
    <t>5621681201, Рівненська область, Дубенський район, Верба</t>
  </si>
  <si>
    <t>6123810100, Тернопільська область, Ланівецький район, Ланівці</t>
  </si>
  <si>
    <t>1211900000, Дніпропетровська область, Новомосковськ</t>
  </si>
  <si>
    <t>1822082501, Житомирська область, Житомирський район, Зарічани</t>
  </si>
  <si>
    <t>6323385501, Харківська область, Красноградський район, Піщанка</t>
  </si>
  <si>
    <t>5324085201, Полтавська область, Полтавський район, Супрунівка</t>
  </si>
  <si>
    <t>машиніст дробильних машин</t>
  </si>
  <si>
    <t>комплектувальник</t>
  </si>
  <si>
    <t>оббивальник меблів</t>
  </si>
  <si>
    <t>кравець</t>
  </si>
  <si>
    <t>кухар</t>
  </si>
  <si>
    <t>0720887401, Волинська область, Горохівський район, Скобелка</t>
  </si>
  <si>
    <t>0721480801, Волинська область, Камінь-Каширський район, Бузаки</t>
  </si>
  <si>
    <t>Камінь-Каширська районна філія Волинського обласного центру зайнятості</t>
  </si>
  <si>
    <t>0722885201, Волинська область, Луцький район, Радомишль</t>
  </si>
  <si>
    <t>0723186102, Волинська область, Любешівський район, Бучин (видалений)</t>
  </si>
  <si>
    <t>0723186301, Волинська область, Любешівський район, Любешівська Воля (видалений)</t>
  </si>
  <si>
    <t>0724287101, Волинська область, Ратнівський район, Самари-Оріхові</t>
  </si>
  <si>
    <t>РАТНІВСЬКА РАЙОННА ФІЛІЯ ВОЛИНСЬКОГО ОБЛАСНОГО ЦЕНТРУ ЗАЙНЯТОСТІ</t>
  </si>
  <si>
    <t>0724255300, Волинська область, Ратнівський район, Заболоття</t>
  </si>
  <si>
    <t>0725082201, Волинська область, Старовижівський район, Кримне</t>
  </si>
  <si>
    <t>СТАРОВИЖІВСЬКА РАЙОННА ФІЛІЯ ВОЛИНСЬКОГО ОБЛАСНОГО ЦЕНТРУ ЗАЙНЯТОСТІ</t>
  </si>
  <si>
    <t>7110500000, Черкаська область, Сміла</t>
  </si>
  <si>
    <t>кухар дитячого харчування</t>
  </si>
  <si>
    <t>0721880801, Волинська область, Ківерцівський район, Борохів</t>
  </si>
  <si>
    <t>0722884801, Волинська область, Луцький район, Підгайці</t>
  </si>
  <si>
    <t>0722884802, Волинська область, Луцький район, Крупа</t>
  </si>
  <si>
    <t>шеф-кухар</t>
  </si>
  <si>
    <t>бармен</t>
  </si>
  <si>
    <t>0722455100, Волинська область, Локачинський район, Локачі</t>
  </si>
  <si>
    <t>0724581901, Волинська область, Рожищенський район, Доросині</t>
  </si>
  <si>
    <t>0725555100, Волинська область, Турійський район, Турійськ</t>
  </si>
  <si>
    <t>ТУРІЙСЬКА РАЙОННА ФІЛІЯ ВОЛИНСЬКОГО ОБЛАСНОГО ЦЕНТРУ ЗАЙНЯТОСТІ</t>
  </si>
  <si>
    <t>буфетник</t>
  </si>
  <si>
    <t>0721485401, Волинська область, Камінь-Каширський район, Нові Червища</t>
  </si>
  <si>
    <t>офіціант</t>
  </si>
  <si>
    <t>0720855400, Волинська область, Горохівський район, Мар'янівка</t>
  </si>
  <si>
    <t>0721410101, Волинська область, Камінь-Каширський район, Олексіївка</t>
  </si>
  <si>
    <t>0722485801, Волинська область, Локачинський район, Холопичі</t>
  </si>
  <si>
    <t>0723384001, Волинська область, Любомльський район, Почапи (видалений)</t>
  </si>
  <si>
    <t>0722880707, Волинська область, Луцький район, Рованці</t>
  </si>
  <si>
    <t>помічник вихователя</t>
  </si>
  <si>
    <t>Молодша медична сестра (санітарка, санітарка-прибиральниця, санітарка-буфетниця та ін.)</t>
  </si>
  <si>
    <t>молодша медична сестра з догляду за хворими</t>
  </si>
  <si>
    <t>Манікюрник</t>
  </si>
  <si>
    <t>перукар (перукар - модельєр)</t>
  </si>
  <si>
    <t>0721155100, Волинська область, Іваничівський район, Іваничі</t>
  </si>
  <si>
    <t xml:space="preserve">Іваничівська районна філія Волинського обласного центру зайнятості </t>
  </si>
  <si>
    <t>0721183801, Волинська область, Іваничівський район, Павлівка</t>
  </si>
  <si>
    <t>покоївка</t>
  </si>
  <si>
    <t>охоронник</t>
  </si>
  <si>
    <t>6821210100, Хмельницька область, Городоцький район, Городок</t>
  </si>
  <si>
    <t>0720582001, Волинська область, Володимир-Волинський район, Зимне</t>
  </si>
  <si>
    <t>охоронець</t>
  </si>
  <si>
    <t>монтер із захисту підземних трубопроводів від корозії</t>
  </si>
  <si>
    <t>електромеханік з ліфтів</t>
  </si>
  <si>
    <t>електромонтер оперативно-виїзної бригади</t>
  </si>
  <si>
    <t>електромонтер з ремонту повітряних ліній електропередачі</t>
  </si>
  <si>
    <t>електромонтер з ремонту та монтажу кабельних ліній</t>
  </si>
  <si>
    <t>Електромонтер з експлуатації розподільних мереж</t>
  </si>
  <si>
    <t>0721410100, Волинська область, Камінь-Каширський район, Камінь-Каширський</t>
  </si>
  <si>
    <t>електромонтер з експлуатації електролічильників</t>
  </si>
  <si>
    <t>0722885401, Волинська область, Луцький район, Ратнів</t>
  </si>
  <si>
    <t>0725055100, Волинська область, Старовижівський район, Стара Вижівка</t>
  </si>
  <si>
    <t>слюсар з контрольно-вимірювальних приладів та автоматики (електроніка)</t>
  </si>
  <si>
    <t>оператор котельні</t>
  </si>
  <si>
    <t>чистильник</t>
  </si>
  <si>
    <t>машиніст (кочегар) котельної</t>
  </si>
  <si>
    <t>0722855400, Волинська область, Луцький район, Торчин</t>
  </si>
  <si>
    <t>0723186401, Волинська область, Любешівський район, Люб'язь</t>
  </si>
  <si>
    <t>0723182301, Волинська область, Любешівський район, Бихів (видалений)</t>
  </si>
  <si>
    <t>0723180501, Волинська область, Любешівський район, Березичі (видалений)</t>
  </si>
  <si>
    <t>0723184201, Волинська область, Любешівський район, Деревок (видалений)</t>
  </si>
  <si>
    <t>машиніст насосних установок</t>
  </si>
  <si>
    <t>налагоджувальник устаткування у виробництві харчової продукції</t>
  </si>
  <si>
    <t>0723655400, Волинська область, Маневицький район, Колки</t>
  </si>
  <si>
    <t>машиніст вентиляційної та аспіраційної установок</t>
  </si>
  <si>
    <t>контролер верстатних та слюсарних робіт (верстатні роботи)</t>
  </si>
  <si>
    <t>оператор верстатів з програмним керуванням</t>
  </si>
  <si>
    <t>верстатник широкого профілю</t>
  </si>
  <si>
    <t>оператор автоматичних та напівавтоматичнихліній верстатів та установок</t>
  </si>
  <si>
    <t>апаратник змішування</t>
  </si>
  <si>
    <t>лаборант хімічного аналізу</t>
  </si>
  <si>
    <t>5623885501, Рівненська область, Млинівський район, Новоукраїнка</t>
  </si>
  <si>
    <t>Вишивальник</t>
  </si>
  <si>
    <t>швачка</t>
  </si>
  <si>
    <t>продавець непродовольчих товарів</t>
  </si>
  <si>
    <t>продавець продовольчих товарів</t>
  </si>
  <si>
    <t>0720810300, Волинська область, Горохівський район, Берестечко</t>
  </si>
  <si>
    <t>0721486601, Волинська область, Камінь-Каширський район, Раків Ліс</t>
  </si>
  <si>
    <t>0721855700, Волинська область, Ківерцівський район, Цумань</t>
  </si>
  <si>
    <t>0722484001, Волинська область, Локачинський район, Крухиничі</t>
  </si>
  <si>
    <t>0721882701, Волинська область, Ківерцівський район, Жидичин</t>
  </si>
  <si>
    <t>0723685301, Волинська область, Маневицький район, Оконськ</t>
  </si>
  <si>
    <t>0723686201, Волинська область, Маневицький район, Серхів (видалений)</t>
  </si>
  <si>
    <t>0724282201, Волинська область, Ратнівський район, Гута</t>
  </si>
  <si>
    <t>0725084801, Волинська область, Старовижівський район, Сереховичі</t>
  </si>
  <si>
    <t>0725082901, Волинська область, Старовижівський район, Мизове</t>
  </si>
  <si>
    <t>0725085801, Волинська область, Старовижівський район, Стара Гута</t>
  </si>
  <si>
    <t>0725755100, Волинська область, Шацький район, Шацьк</t>
  </si>
  <si>
    <t>ШАЦЬКА РАЙОННА ФІЛІЯ ВОЛИНСЬКОГО ОБЛАСНОГО ЦЕНТРУ ЗАЙНЯТОСТІ</t>
  </si>
  <si>
    <t>0722855200, Волинська область, Луцький район, Рокині</t>
  </si>
  <si>
    <t>0722883705, Волинська область, Луцький район, Милуші</t>
  </si>
  <si>
    <t>оператор із штучного осіменіння тварин та птиці</t>
  </si>
  <si>
    <t>0722481806, Волинська область, Локачинський район, П'ятикори</t>
  </si>
  <si>
    <t>оператор цехів для приготування кормів (тваринництво)</t>
  </si>
  <si>
    <t>0722155300, Волинська область, Ковельський район, Голоби</t>
  </si>
  <si>
    <t>дояр</t>
  </si>
  <si>
    <t>0724286001, Волинська область, Ратнівський район, Прохід</t>
  </si>
  <si>
    <t>вальник лісу</t>
  </si>
  <si>
    <t>оператор мийної установки</t>
  </si>
  <si>
    <t>Друкар офсетного плоского друкування</t>
  </si>
  <si>
    <t>взуттьовик з ремонту взуття</t>
  </si>
  <si>
    <t>машиніст екскаватора</t>
  </si>
  <si>
    <t>шліфувальник каменів</t>
  </si>
  <si>
    <t>Слюсар із складання металевих конструкцій</t>
  </si>
  <si>
    <t>стропальник</t>
  </si>
  <si>
    <t>оператор автоматичних і напівавтоматичних ліній холодноштампувального устаткування</t>
  </si>
  <si>
    <t>слюсар з контрольно-вимірювальних приладів та автоматики (електромеханіка)</t>
  </si>
  <si>
    <t>електромонтажник силових мереж та електроустаткування</t>
  </si>
  <si>
    <t>електромонтер диспетчерського устаткуваннята телеавтоматики</t>
  </si>
  <si>
    <t>електромонтер з випробувань та вимірювань</t>
  </si>
  <si>
    <t>електромонтер з ремонту апаратури, релейного захисту й автоматики</t>
  </si>
  <si>
    <t>електромонтер з ремонту та обслуговування електроустаткування</t>
  </si>
  <si>
    <t>0721883101, Волинська область, Ківерцівський район, Журавичі</t>
  </si>
  <si>
    <t>Електрослюсар з ремонту устаткування розподільних пристроїв</t>
  </si>
  <si>
    <t>електромонтер з ремонту та обслуговування апаратури та пристроїв зв'язку</t>
  </si>
  <si>
    <t>обвалювальник м'яса</t>
  </si>
  <si>
    <t>6810700000, Хмельницька область, Шепетівка</t>
  </si>
  <si>
    <t>кондитер</t>
  </si>
  <si>
    <t>цукерник</t>
  </si>
  <si>
    <t>пекар</t>
  </si>
  <si>
    <t>0722882901, Волинська область, Луцький район, Коршів</t>
  </si>
  <si>
    <t>пресувальник (хімічне виробництво)</t>
  </si>
  <si>
    <t>токар</t>
  </si>
  <si>
    <t>0722881601, Волинська область, Луцький район, Гірка Полонка</t>
  </si>
  <si>
    <t>фрезерувальник</t>
  </si>
  <si>
    <t>шліфувальник</t>
  </si>
  <si>
    <t>сортувальник виробів, сировини та матеріалів</t>
  </si>
  <si>
    <t>гірник підземний</t>
  </si>
  <si>
    <t>муляр</t>
  </si>
  <si>
    <t>робітник з комплексного обслуговування й ремонту будинків</t>
  </si>
  <si>
    <t>покрівельник рулонних покрівель та покрівель із штучних матеріалів</t>
  </si>
  <si>
    <t>оператор сушильного устаткування</t>
  </si>
  <si>
    <t>полірувальник скла та скловиробів</t>
  </si>
  <si>
    <t>флорист</t>
  </si>
  <si>
    <t>0721410102, Волинська область, Камінь-Каширський район, Підцир'я</t>
  </si>
  <si>
    <t>налагоджувальник контрольно-вимірювальних приладів та автоматики</t>
  </si>
  <si>
    <t>зачищувач</t>
  </si>
  <si>
    <t>радіомеханік з обслуговування та ремонту радіотелевізійної апаратури</t>
  </si>
  <si>
    <t>радіотехнік</t>
  </si>
  <si>
    <t>монтажник устаткування зв'язку</t>
  </si>
  <si>
    <t>монтажник зв'язку-кабельник</t>
  </si>
  <si>
    <t>Слюсар з ремонту колісних транспортних засобів</t>
  </si>
  <si>
    <t>0722885001, Волинська область, Луцький район, Піддубці</t>
  </si>
  <si>
    <t>слюсар з паливної апаратури</t>
  </si>
  <si>
    <t>випробувач-механік двигунів</t>
  </si>
  <si>
    <t>слюсар з ремонту агрегатів</t>
  </si>
  <si>
    <t>слюсар-ремонтник</t>
  </si>
  <si>
    <t>0722481204, Волинська область, Локачинський район, Павловичі</t>
  </si>
  <si>
    <t>рамник</t>
  </si>
  <si>
    <t>0723685101, Волинська область, Маневицький район, Нова Руда</t>
  </si>
  <si>
    <t>сортувальник паперового виробництва</t>
  </si>
  <si>
    <t>завідувач складу</t>
  </si>
  <si>
    <t>художник-модельєр</t>
  </si>
  <si>
    <t>майстер з ремонту</t>
  </si>
  <si>
    <t>майстер зміни</t>
  </si>
  <si>
    <t>майстер цеху</t>
  </si>
  <si>
    <t>методист</t>
  </si>
  <si>
    <t>механік</t>
  </si>
  <si>
    <t>механік автомобільної колони (гаража)</t>
  </si>
  <si>
    <t>акомпаніатор</t>
  </si>
  <si>
    <t>бухгалтер</t>
  </si>
  <si>
    <t>0722181201, Волинська область, Ковельський район, Велицьк</t>
  </si>
  <si>
    <t>0722182602, Волинська область, Ковельський район, Воля-Ковельська</t>
  </si>
  <si>
    <t>0720885405, Волинська область, Горохівський район, Старики</t>
  </si>
  <si>
    <t>0722887501, Волинська область, Луцький район, Шепель (видалений)</t>
  </si>
  <si>
    <t>0722885002, Волинська область, Луцький район, Гаразджа</t>
  </si>
  <si>
    <t>бухгалтер-ревізор</t>
  </si>
  <si>
    <t>викладач (методи навчання)</t>
  </si>
  <si>
    <t>Листоноша (поштар)</t>
  </si>
  <si>
    <t>0721483701, Волинська область, Камінь-Каширський район, Залісся</t>
  </si>
  <si>
    <t>0721882001, Волинська область, Ківерцівський район, Дерно</t>
  </si>
  <si>
    <t>0725755103, Волинська область, Шацький район, Мельники</t>
  </si>
  <si>
    <t>0722886801, Волинська область, Луцький район, Чаруків</t>
  </si>
  <si>
    <t>0722886201, Волинська область, Луцький район, Смолигів</t>
  </si>
  <si>
    <t>0722883703, Волинська область, Луцький район, Зміїнець</t>
  </si>
  <si>
    <t>сортувальник поштових відправлень та виробів друку</t>
  </si>
  <si>
    <t>контролер-касир</t>
  </si>
  <si>
    <t>заступник начальника відділу</t>
  </si>
  <si>
    <t>начальник відділу поштового зв'язку</t>
  </si>
  <si>
    <t>0724281801, Волинська область, Ратнівський район, Гірники</t>
  </si>
  <si>
    <t>0721155107, Волинська область, Іваничівський район, Мишів</t>
  </si>
  <si>
    <t>0721182801, Волинська область, Іваничівський район, Луковичі</t>
  </si>
  <si>
    <t>головний інженер</t>
  </si>
  <si>
    <t>інженер з охорони праці</t>
  </si>
  <si>
    <t>лікар з ультразвукової діагностики</t>
  </si>
  <si>
    <t>лікар загальної практики-сімейний лікар</t>
  </si>
  <si>
    <t>0722482401, Волинська область, Локачинський район, Затурці</t>
  </si>
  <si>
    <t>0724286401, Волинська область, Ратнівський район, Річиця</t>
  </si>
  <si>
    <t>лікар-педіатр-неонатолог</t>
  </si>
  <si>
    <t>лікар-психолог</t>
  </si>
  <si>
    <t>лікар-трансфузіолог</t>
  </si>
  <si>
    <t>майстер виробничого навчання водінню</t>
  </si>
  <si>
    <t>дорожній робітник.</t>
  </si>
  <si>
    <t>Аналітик консолідованої інформації</t>
  </si>
  <si>
    <t>Журналіст</t>
  </si>
  <si>
    <t>Технік-електрик</t>
  </si>
  <si>
    <t>0710745300, Волинська область, Благодатне</t>
  </si>
  <si>
    <t>Технік-землевпорядник</t>
  </si>
  <si>
    <t>агроном</t>
  </si>
  <si>
    <t>0722880302, Волинська область, Луцький район, Городище</t>
  </si>
  <si>
    <t>зоотехнік</t>
  </si>
  <si>
    <t>лікар</t>
  </si>
  <si>
    <t>лікар-імунолог</t>
  </si>
  <si>
    <t>асистент</t>
  </si>
  <si>
    <t>Вчитель-логопед</t>
  </si>
  <si>
    <t>Юрист</t>
  </si>
  <si>
    <t>0722185601, Волинська область, Ковельський район, Облапи (видалений)</t>
  </si>
  <si>
    <t>Практичний психолог</t>
  </si>
  <si>
    <t>0723383101, Волинська область, Любомльський район, Нудиже (видалений)</t>
  </si>
  <si>
    <t>0724555300, Волинська область, Рожищенський район, Дубище</t>
  </si>
  <si>
    <t>машиніст крана (кранівник)</t>
  </si>
  <si>
    <t>машиніст автовишки та автогідропідіймача</t>
  </si>
  <si>
    <t>водій навантажувача</t>
  </si>
  <si>
    <t>0721484601, Волинська область, Камінь-Каширський район, Качин</t>
  </si>
  <si>
    <t>підсобний робітник</t>
  </si>
  <si>
    <t>0720581606, Волинська область, Володимир-Волинський район, Федорівка</t>
  </si>
  <si>
    <t>0722482603, Волинська область, Локачинський район, Кремеш</t>
  </si>
  <si>
    <t>0722481801, Волинська область, Локачинський район, Дорогиничі</t>
  </si>
  <si>
    <t>головний інженер проекту</t>
  </si>
  <si>
    <t>Лицювальник-плиточник</t>
  </si>
  <si>
    <t>Штукатур</t>
  </si>
  <si>
    <t>Маляр</t>
  </si>
  <si>
    <t>Майстер з діагностики та налагодження електронного устаткування автомобільних засобів</t>
  </si>
  <si>
    <t>Слюсар-електрик з ремонту та обслуговування вантажопідіймальних кранів і машин</t>
  </si>
  <si>
    <t>вафельник (кондитерське виробництво)</t>
  </si>
  <si>
    <t>завантажувач-вивантажувач харчової продукції</t>
  </si>
  <si>
    <t>касир (на підприємстві, в установі, організації)</t>
  </si>
  <si>
    <t>касир торговельного залу</t>
  </si>
  <si>
    <t>5625810100, Рівненська область, Радивилівський район, Радивилів</t>
  </si>
  <si>
    <t>керуючий магазином</t>
  </si>
  <si>
    <t>керівник гуртка</t>
  </si>
  <si>
    <t>керівник музичний</t>
  </si>
  <si>
    <t>інженер</t>
  </si>
  <si>
    <t>директор відділення</t>
  </si>
  <si>
    <t>директор комерційний</t>
  </si>
  <si>
    <t>начальник відділу технічного контролю</t>
  </si>
  <si>
    <t>вихователь</t>
  </si>
  <si>
    <t>вчитель-дефектолог</t>
  </si>
  <si>
    <t>0722182401, Волинська область, Ковельський район, Дубове</t>
  </si>
  <si>
    <t>представник торговельний</t>
  </si>
  <si>
    <t>провізор</t>
  </si>
  <si>
    <t>6110100000, Тернопільська область, Тернопіль</t>
  </si>
  <si>
    <t>редактор</t>
  </si>
  <si>
    <t>секретар</t>
  </si>
  <si>
    <t>0723386502, Волинська область, Любомльський район, Руда</t>
  </si>
  <si>
    <t>секретар керівника (організації, підприємства, установи)</t>
  </si>
  <si>
    <t>начальник дільниці</t>
  </si>
  <si>
    <t>начальник зміни (промисловість)</t>
  </si>
  <si>
    <t>начальник колони (автомобільної, механізованої)</t>
  </si>
  <si>
    <t>вчитель-реабілітолог</t>
  </si>
  <si>
    <t>Спеціаліст державної служби (місцевого самоврядування)</t>
  </si>
  <si>
    <t>0723384901, Волинська область, Любомльський район, Рівне</t>
  </si>
  <si>
    <t>Фахівець із організації дозвілля</t>
  </si>
  <si>
    <t>машиніст мийної установки</t>
  </si>
  <si>
    <t>інструктор-методист тренажерного комплексу (залу)</t>
  </si>
  <si>
    <t>звукорежисер</t>
  </si>
  <si>
    <t>електромеханік</t>
  </si>
  <si>
    <t>оператор відеозапису</t>
  </si>
  <si>
    <t>паркувальник</t>
  </si>
  <si>
    <t>фотограф (фотороботи)</t>
  </si>
  <si>
    <t>заготівельник продуктів і сировини</t>
  </si>
  <si>
    <t>водій автотранспортних засобів</t>
  </si>
  <si>
    <t>0720881001, Волинська область, Горохівський район, Ватин</t>
  </si>
  <si>
    <t>0725084602, Волинська область, Старовижівський район, Борзова</t>
  </si>
  <si>
    <t>0725580401, Волинська область, Турійський район, Бобли</t>
  </si>
  <si>
    <t>слюсар-електрик з ремонту електроустаткування</t>
  </si>
  <si>
    <t>0720888301, Волинська область, Горохівський район, Холонів</t>
  </si>
  <si>
    <t>помічник машиніста тепловоза</t>
  </si>
  <si>
    <t>складач поїздів</t>
  </si>
  <si>
    <t>диспетчер автомобільного транспорту</t>
  </si>
  <si>
    <t>монтажник</t>
  </si>
  <si>
    <t>діловод</t>
  </si>
  <si>
    <t>0723380404, Волинська область, Любомльський район, Коцюри</t>
  </si>
  <si>
    <t>економіст</t>
  </si>
  <si>
    <t>експедитор</t>
  </si>
  <si>
    <t>електрик дільниці</t>
  </si>
  <si>
    <t>0722187401, Волинська область, Ковельський район, Поворськ</t>
  </si>
  <si>
    <t>електрик цеху</t>
  </si>
  <si>
    <t>технолог</t>
  </si>
  <si>
    <t>технік</t>
  </si>
  <si>
    <t>технік з експлуатації мереж і споруд водо-провідноканалізаційного господарства</t>
  </si>
  <si>
    <t>укладальник хлібобулочних виробів</t>
  </si>
  <si>
    <t>укладальник-пакувальник</t>
  </si>
  <si>
    <t>електромонтер з ескізування трас ліній електропередачі</t>
  </si>
  <si>
    <t>лаборант (біологічні дослідження)</t>
  </si>
  <si>
    <t>лікар ветеринарної медицини</t>
  </si>
  <si>
    <t>0725582204, Волинська область, Турійський район, Чорніїв</t>
  </si>
  <si>
    <t>головний архітектор проекту</t>
  </si>
  <si>
    <t>головний бухгалтер</t>
  </si>
  <si>
    <t>0722184001, Волинська область, Ковельський район, Любитів</t>
  </si>
  <si>
    <t>інженер з транспорту</t>
  </si>
  <si>
    <t>інженер-електронік</t>
  </si>
  <si>
    <t>0724285301, Волинська область, Ратнівський район, Межисить</t>
  </si>
  <si>
    <t>інженер-конструктор</t>
  </si>
  <si>
    <t>інженер-механік груповий</t>
  </si>
  <si>
    <t>інженер-технолог</t>
  </si>
  <si>
    <t>комірник</t>
  </si>
  <si>
    <t>головний механік</t>
  </si>
  <si>
    <t>головний енергетик</t>
  </si>
  <si>
    <t>майстер</t>
  </si>
  <si>
    <t>виконавець робіт</t>
  </si>
  <si>
    <t>логопед</t>
  </si>
  <si>
    <t>сестра медична</t>
  </si>
  <si>
    <t>0721881301, Волинська область, Ківерцівський район, Грем'яче</t>
  </si>
  <si>
    <t>0722883602, Волинська область, Луцький район, Воротнів</t>
  </si>
  <si>
    <t>0724281802, Волинська область, Ратнівський район, Броди</t>
  </si>
  <si>
    <t>брокер</t>
  </si>
  <si>
    <t>Обліковець з реєстрації бухгалтерських даних</t>
  </si>
  <si>
    <t>1824410100, Житомирська область, Олевський район, Олевськ</t>
  </si>
  <si>
    <t>5621810100, Рівненська область, Дубровицький район, Дубровиця</t>
  </si>
  <si>
    <t>5622255100, Рівненська область, Зарічненський район, Зарічне</t>
  </si>
  <si>
    <t>Начальник відділу</t>
  </si>
  <si>
    <t>кухонний робітник</t>
  </si>
  <si>
    <t>0723383301, Волинська область, Любомльський район, Олеськ</t>
  </si>
  <si>
    <t>мийник посуду</t>
  </si>
  <si>
    <t>прибиральник виробничих приміщень</t>
  </si>
  <si>
    <t>0722880701, Волинська область, Луцький район, Боратин</t>
  </si>
  <si>
    <t>прибиральник службових приміщень</t>
  </si>
  <si>
    <t>2625886801, Івано-Франківська область, Тисменицький район, Угринів</t>
  </si>
  <si>
    <t>4623684002, Львівська область, Пустомитівський район, Підгірне</t>
  </si>
  <si>
    <t>6125280601, Тернопільська область, Тернопільський район, Байківці</t>
  </si>
  <si>
    <t>0722881803, Волинська область, Луцький район, Великий Омеляник</t>
  </si>
  <si>
    <t>2625810100, Івано-Франківська область, Тисменицький район, Тисмениця</t>
  </si>
  <si>
    <t>доглядач</t>
  </si>
  <si>
    <t>сторож</t>
  </si>
  <si>
    <t>робітник з благоустрою</t>
  </si>
  <si>
    <t>двірник</t>
  </si>
  <si>
    <t>робітник з комплексного прибирання та утримання будинків з прилеглими територіями</t>
  </si>
  <si>
    <t>Фахівець з інформаційних технологій</t>
  </si>
  <si>
    <t>Фахівець з розробки та тестування програмного забезпечення</t>
  </si>
  <si>
    <t>Викладач мистецької школи (за видами навчальних дисциплін)</t>
  </si>
  <si>
    <t>Секретар судового засідання</t>
  </si>
  <si>
    <t>лікар-акушер-гінеколог</t>
  </si>
  <si>
    <t>лікар-анестезіолог</t>
  </si>
  <si>
    <t>завідувач відділу</t>
  </si>
  <si>
    <t>завідувач господарства</t>
  </si>
  <si>
    <t>механік з ремонту транспорту</t>
  </si>
  <si>
    <t>механік з ремонту устаткування</t>
  </si>
  <si>
    <t>вантажник</t>
  </si>
  <si>
    <t>0724584601, Волинська область, Рожищенський район, Носачевичі</t>
  </si>
  <si>
    <t>агроном з насінництва</t>
  </si>
  <si>
    <t>0725587605, Волинська область, Турійський район, Радовичі</t>
  </si>
  <si>
    <t>адміністратор</t>
  </si>
  <si>
    <t>2124886201, Закарпатська область, Ужгородський район, Соломоново</t>
  </si>
  <si>
    <t>лікар-ендоскопіст</t>
  </si>
  <si>
    <t>лікар-лаборант</t>
  </si>
  <si>
    <t>лікар-онколог</t>
  </si>
  <si>
    <t>лікар-отоларинголог</t>
  </si>
  <si>
    <t>лікар-офтальмолог</t>
  </si>
  <si>
    <t>лікар-рентгенолог</t>
  </si>
  <si>
    <t>лікар-стоматолог</t>
  </si>
  <si>
    <t>лікар-стоматолог-ортодонт</t>
  </si>
  <si>
    <t>лікар-ортопед-травматолог</t>
  </si>
  <si>
    <t>лікар-уролог</t>
  </si>
  <si>
    <t>лікар-фізіотерапевт</t>
  </si>
  <si>
    <t>майстер будівельних та монтажних робіт</t>
  </si>
  <si>
    <t>майстер виробничого навчання</t>
  </si>
  <si>
    <t>майстер виробничої дільниці</t>
  </si>
  <si>
    <t>майстер дільниці</t>
  </si>
  <si>
    <t>технік-програміст</t>
  </si>
  <si>
    <t>товарознавець</t>
  </si>
  <si>
    <t>5610100000, Рівненська область, Рівне</t>
  </si>
  <si>
    <t>фармацевт</t>
  </si>
  <si>
    <t>фахівець</t>
  </si>
  <si>
    <t>Фахівець з методів розширення ринку збуту (маркетолог)</t>
  </si>
  <si>
    <t>0721888003, Волинська область, Ківерцівський район, Пальче</t>
  </si>
  <si>
    <t>фахівець із соціальної роботи</t>
  </si>
  <si>
    <t>фельдшер</t>
  </si>
  <si>
    <t>Фельдшер ветеринарної медицини</t>
  </si>
  <si>
    <t>складальник-обробник котушок трансформаторів</t>
  </si>
  <si>
    <t>складальник іграшок</t>
  </si>
  <si>
    <t>монтувальник шин</t>
  </si>
  <si>
    <t>інспектор з кадрів</t>
  </si>
  <si>
    <t>інспектор кредитний</t>
  </si>
  <si>
    <t>інструктор</t>
  </si>
  <si>
    <t>Технік-технолог з виробництва борошняних, кондитерських виробів та харчоконцентратів</t>
  </si>
  <si>
    <t>інженер з комп'ютерних систем</t>
  </si>
  <si>
    <t>Інженер-будівельник</t>
  </si>
  <si>
    <t>інженер з проектно-кошторисної роботи</t>
  </si>
  <si>
    <t>Менеджер (управитель) з логістики</t>
  </si>
  <si>
    <t>Менеджер (управитель) із зовнішньоекономічної діяльності</t>
  </si>
  <si>
    <t>Менеджер (управитель) з персоналу</t>
  </si>
  <si>
    <t>менеджер (управитель) з постачання</t>
  </si>
  <si>
    <t>менеджер (управитель) із збуту</t>
  </si>
  <si>
    <t>1210100000, Дніпропетровська область, Дніпро</t>
  </si>
  <si>
    <t>6510100000, Херсонська область, Херсон</t>
  </si>
  <si>
    <t>тракторист</t>
  </si>
  <si>
    <t>0724582904, Волинська область, Рожищенський район, Тростянка</t>
  </si>
  <si>
    <t>машиніст-кранівник</t>
  </si>
  <si>
    <t>Тракторист-машиніст сільськогосподарського (лісогосподарського) виробництва</t>
  </si>
  <si>
    <t>0722483401, Волинська область, Локачинський район, Козлів</t>
  </si>
  <si>
    <t>машиніст автогрейдера</t>
  </si>
  <si>
    <t>машиніст бульдозера (будівельні роботи)</t>
  </si>
  <si>
    <t>0722884001, Волинська область, Луцький район, Несвіч</t>
  </si>
  <si>
    <t>машиніст екскаватора одноковшового</t>
  </si>
  <si>
    <t>Монтажник гіпсокартонних конструкцій</t>
  </si>
  <si>
    <t>Газозварник</t>
  </si>
  <si>
    <t>Електрозварник ручного зварювання</t>
  </si>
  <si>
    <t>Деревообробник будівельний</t>
  </si>
  <si>
    <t>Машиніст тепловоза</t>
  </si>
  <si>
    <t>Адміністратор (господар) залу</t>
  </si>
  <si>
    <t>Продавець-консультант</t>
  </si>
  <si>
    <t>Менеджер (управитель) із надання кредитів</t>
  </si>
  <si>
    <t>Менеджер (управитель) з організації консультативних послуг</t>
  </si>
  <si>
    <t>Машиніст крана автомобільного</t>
  </si>
  <si>
    <t>Монтер колії</t>
  </si>
  <si>
    <t>Електрогазозварник</t>
  </si>
  <si>
    <t>Менеджер (управитель) з транспортно-експедиторської діяльності</t>
  </si>
  <si>
    <t>Менеджер (управитель) в роздрібній торгівлі продовольчими товарами</t>
  </si>
  <si>
    <t>Менеджер (управитель) з реклами</t>
  </si>
  <si>
    <t>Оператор пакувальних автоматів</t>
  </si>
  <si>
    <t>Програміст (база даних)</t>
  </si>
  <si>
    <t>Дизайнер меблів</t>
  </si>
  <si>
    <t>Зварник</t>
  </si>
  <si>
    <t>Інженер-проектувальник</t>
  </si>
  <si>
    <t>Черговий (інші установи, підприємства, організації)</t>
  </si>
  <si>
    <t>Покрівельник будівельний</t>
  </si>
  <si>
    <t>Обліковець</t>
  </si>
  <si>
    <t>Контролер лісозаготівельного виробництва</t>
  </si>
  <si>
    <t>Інспектор (пенітенціарна система)</t>
  </si>
  <si>
    <t>Асистент вчителя</t>
  </si>
  <si>
    <t>Логіст</t>
  </si>
  <si>
    <t>Інженер з технічного нагляду (будівництво)</t>
  </si>
  <si>
    <t>Вихователь дошкільного навчального закладу</t>
  </si>
  <si>
    <t>0725084001, Волинська область, Старовижівський район, Поліське</t>
  </si>
  <si>
    <t>Інспектор</t>
  </si>
  <si>
    <t>Менеджер (управитель)</t>
  </si>
  <si>
    <t>Менеджер (управитель) з маркетингу</t>
  </si>
  <si>
    <t>Асистент вихователя дошкільного навчального закладу</t>
  </si>
  <si>
    <t>Майстер лісу</t>
  </si>
  <si>
    <t>0721482001, Волинська область, Камінь-Каширський район, Видерта</t>
  </si>
  <si>
    <t>0721484302, Волинська область, Камінь-Каширський район, Карпилівка</t>
  </si>
  <si>
    <t>Поліцейський (інспектор) патрульної служби</t>
  </si>
  <si>
    <t>Консультант</t>
  </si>
  <si>
    <t>Вчитель початкових класів закладу загальної середньої освіти</t>
  </si>
  <si>
    <t>0722183803, Волинська область, Ковельський район, Черемошне (видалений)</t>
  </si>
  <si>
    <t>0725780901, Волинська область, Шацький район, Грабове</t>
  </si>
  <si>
    <t>Лікар фізичної та реабілітаційної медицини</t>
  </si>
  <si>
    <t>Адміністратор (органи державної влади та місцевого самоврядування)</t>
  </si>
  <si>
    <t>Вчитель закладу загальної середньої освіти</t>
  </si>
  <si>
    <t>0722183801, Волинська область, Ковельський район, Кричевичі (видалений)</t>
  </si>
  <si>
    <t>0721485801, Волинська область, Камінь-Каширський район, Осівці</t>
  </si>
  <si>
    <t>0722881001, Волинська область, Луцький район, Боголюби (видалений)</t>
  </si>
  <si>
    <t>0722883201, Волинська область, Луцький район, Лаврів</t>
  </si>
  <si>
    <t>0723380401, Волинська область, Любомльський район, Вишнів</t>
  </si>
  <si>
    <t>0723382801, Волинська область, Любомльський район, Машів</t>
  </si>
  <si>
    <t>0723683001, Волинська область, Маневицький район, Комарове</t>
  </si>
  <si>
    <t>0724584401, Волинська область, Рожищенський район, Навіз</t>
  </si>
  <si>
    <t>Фахівець з публічних закупівель</t>
  </si>
  <si>
    <t>Молодший інспектор (поліція)</t>
  </si>
  <si>
    <t>Стан вакансії / Оперативні вакансії</t>
  </si>
  <si>
    <t>Дорівнює</t>
  </si>
  <si>
    <t>Актуальна</t>
  </si>
  <si>
    <t>Батьківський ЦЗ реєстрації / Оперативні вакансії</t>
  </si>
  <si>
    <t>300, ВОЛИНСЬКИЙ ОБЛАСНИЙ ЦЕНТР ЗАЙНЯТОСТІ*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</si>
</sst>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0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1" applyNumberFormat="0" applyAlignment="0" applyProtection="0"/>
    <xf numFmtId="0" fontId="4" fillId="40" borderId="2" applyNumberFormat="0" applyAlignment="0" applyProtection="0"/>
    <xf numFmtId="0" fontId="27" fillId="0" borderId="0" applyNumberFormat="0" applyFill="0" applyBorder="0" applyAlignment="0" applyProtection="0"/>
    <xf numFmtId="180" fontId="0" fillId="0" borderId="0" applyFont="0" applyFill="0" applyBorder="0" applyProtection="0">
      <alignment horizontal="center" vertical="center"/>
    </xf>
    <xf numFmtId="49" fontId="0" fillId="0" borderId="0" applyFont="0" applyFill="0" applyBorder="0" applyProtection="0">
      <alignment horizontal="left" vertical="center" wrapText="1"/>
    </xf>
    <xf numFmtId="49" fontId="1" fillId="0" borderId="3" applyFill="0" applyProtection="0">
      <alignment horizontal="center" vertical="center" wrapText="1"/>
    </xf>
    <xf numFmtId="49" fontId="0" fillId="0" borderId="0" applyFont="0" applyFill="0" applyBorder="0" applyProtection="0">
      <alignment horizontal="left" vertical="center" wrapText="1"/>
    </xf>
    <xf numFmtId="0" fontId="28" fillId="41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7" applyNumberFormat="0" applyFill="0" applyAlignment="0" applyProtection="0"/>
    <xf numFmtId="0" fontId="34" fillId="43" borderId="0" applyNumberFormat="0" applyBorder="0" applyAlignment="0" applyProtection="0"/>
    <xf numFmtId="0" fontId="0" fillId="44" borderId="8" applyNumberFormat="0" applyFont="0" applyAlignment="0" applyProtection="0"/>
    <xf numFmtId="0" fontId="35" fillId="39" borderId="9" applyNumberFormat="0" applyAlignment="0" applyProtection="0"/>
    <xf numFmtId="0" fontId="3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8" fillId="0" borderId="0" applyNumberFormat="0" applyFill="0" applyBorder="0" applyProtection="0">
      <alignment/>
    </xf>
    <xf numFmtId="4" fontId="0" fillId="0" borderId="0" applyFont="0" applyFill="0" applyBorder="0" applyProtection="0">
      <alignment horizontal="right"/>
    </xf>
    <xf numFmtId="49" fontId="0" fillId="0" borderId="0" applyFont="0" applyFill="0" applyBorder="0" applyProtection="0">
      <alignment wrapText="1"/>
    </xf>
    <xf numFmtId="0" fontId="6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2" fillId="45" borderId="1" applyNumberFormat="0" applyAlignment="0" applyProtection="0"/>
    <xf numFmtId="0" fontId="35" fillId="39" borderId="9" applyNumberFormat="0" applyAlignment="0" applyProtection="0"/>
    <xf numFmtId="0" fontId="26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11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40" borderId="2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5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6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2" xfId="0" applyFont="1" applyBorder="1" applyAlignment="1">
      <alignment/>
    </xf>
    <xf numFmtId="49" fontId="1" fillId="0" borderId="3" xfId="63">
      <alignment horizontal="center" vertical="center" wrapText="1"/>
    </xf>
    <xf numFmtId="49" fontId="1" fillId="0" borderId="3" xfId="63" applyBorder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77">
      <alignment/>
    </xf>
    <xf numFmtId="49" fontId="0" fillId="0" borderId="0" xfId="79">
      <alignment wrapText="1"/>
    </xf>
    <xf numFmtId="4" fontId="0" fillId="0" borderId="0" xfId="78">
      <alignment horizontal="right"/>
    </xf>
    <xf numFmtId="49" fontId="0" fillId="0" borderId="0" xfId="64">
      <alignment horizontal="left" vertical="center" wrapText="1"/>
    </xf>
    <xf numFmtId="49" fontId="0" fillId="0" borderId="0" xfId="62">
      <alignment horizontal="lef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Block" xfId="61"/>
    <cellStyle name="fCmp" xfId="62"/>
    <cellStyle name="fHead" xfId="63"/>
    <cellStyle name="fName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Title" xfId="75"/>
    <cellStyle name="Total" xfId="76"/>
    <cellStyle name="vHl" xfId="77"/>
    <cellStyle name="vN0" xfId="78"/>
    <cellStyle name="vSt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2247"/>
  <sheetViews>
    <sheetView tabSelected="1" zoomScalePageLayoutView="0" workbookViewId="0" topLeftCell="A1">
      <pane ySplit="2" topLeftCell="A2238" activePane="bottomLeft" state="frozen"/>
      <selection pane="topLeft" activeCell="A1" sqref="A1"/>
      <selection pane="bottomLeft" activeCell="B2255" sqref="B2255"/>
    </sheetView>
  </sheetViews>
  <sheetFormatPr defaultColWidth="9.140625" defaultRowHeight="12.75"/>
  <cols>
    <col min="1" max="1" width="4.00390625" style="0" bestFit="1" customWidth="1"/>
    <col min="2" max="2" width="55.57421875" style="0" customWidth="1"/>
    <col min="3" max="3" width="24.8515625" style="0" customWidth="1"/>
    <col min="4" max="4" width="76.57421875" style="0" bestFit="1" customWidth="1"/>
    <col min="5" max="5" width="93.140625" style="0" bestFit="1" customWidth="1"/>
    <col min="6" max="6" width="9.140625" style="0" hidden="1" customWidth="1"/>
  </cols>
  <sheetData>
    <row r="1" spans="1:5" ht="25.5">
      <c r="A1" s="2" t="s">
        <v>4</v>
      </c>
      <c r="B1" s="3" t="s">
        <v>5</v>
      </c>
      <c r="C1" s="3" t="s">
        <v>6</v>
      </c>
      <c r="D1" s="3" t="s">
        <v>7</v>
      </c>
      <c r="E1" s="3" t="s">
        <v>8</v>
      </c>
    </row>
    <row r="2" ht="12.75">
      <c r="C2" s="8">
        <f>SUBTOTAL(9,C3:C2248)</f>
        <v>14075481.429999996</v>
      </c>
    </row>
    <row r="3" spans="1:5" ht="12.75">
      <c r="A3" s="6" t="str">
        <f>HYPERLINK(SUBSTITUTE(T(hl_0),"{0}","327331676361909"),hn_0)</f>
        <v>ОВ</v>
      </c>
      <c r="B3" s="7" t="s">
        <v>10</v>
      </c>
      <c r="C3" s="8">
        <v>6000</v>
      </c>
      <c r="D3" s="7" t="s">
        <v>11</v>
      </c>
      <c r="E3" s="7" t="s">
        <v>12</v>
      </c>
    </row>
    <row r="4" spans="1:5" ht="12.75">
      <c r="A4" s="6" t="str">
        <f>HYPERLINK(SUBSTITUTE(T(hl_0),"{0}","319332416323225"),hn_0)</f>
        <v>ОВ</v>
      </c>
      <c r="B4" s="7" t="s">
        <v>13</v>
      </c>
      <c r="C4" s="8">
        <v>5000</v>
      </c>
      <c r="D4" s="7" t="s">
        <v>14</v>
      </c>
      <c r="E4" s="7" t="s">
        <v>15</v>
      </c>
    </row>
    <row r="5" spans="1:6" ht="12.75">
      <c r="A5" s="6" t="str">
        <f>HYPERLINK(SUBSTITUTE(T(hl_0),"{0}","319330882245586"),hn_0)</f>
        <v>ОВ</v>
      </c>
      <c r="B5" s="7" t="s">
        <v>13</v>
      </c>
      <c r="C5" s="8">
        <v>6200</v>
      </c>
      <c r="D5" s="7" t="s">
        <v>14</v>
      </c>
      <c r="E5" s="7" t="s">
        <v>15</v>
      </c>
      <c r="F5" s="5">
        <v>2</v>
      </c>
    </row>
    <row r="6" spans="1:6" ht="25.5">
      <c r="A6" s="6" t="str">
        <f>HYPERLINK(SUBSTITUTE(T(hl_0),"{0}","320332706057088"),hn_0)</f>
        <v>ОВ</v>
      </c>
      <c r="B6" s="7" t="s">
        <v>13</v>
      </c>
      <c r="C6" s="8">
        <v>6000</v>
      </c>
      <c r="D6" s="7" t="s">
        <v>16</v>
      </c>
      <c r="E6" s="7" t="s">
        <v>17</v>
      </c>
      <c r="F6" s="5">
        <v>8</v>
      </c>
    </row>
    <row r="7" spans="1:5" ht="12.75">
      <c r="A7" s="6" t="str">
        <f>HYPERLINK(SUBSTITUTE(T(hl_0),"{0}","321327621521343"),hn_0)</f>
        <v>ОВ</v>
      </c>
      <c r="B7" s="7" t="s">
        <v>13</v>
      </c>
      <c r="C7" s="8">
        <v>5613</v>
      </c>
      <c r="D7" s="7" t="s">
        <v>18</v>
      </c>
      <c r="E7" s="7" t="s">
        <v>19</v>
      </c>
    </row>
    <row r="8" spans="1:6" ht="12.75">
      <c r="A8" s="6" t="str">
        <f>HYPERLINK(SUBSTITUTE(T(hl_0),"{0}","900332394584914"),hn_0)</f>
        <v>ОВ</v>
      </c>
      <c r="B8" s="7" t="s">
        <v>13</v>
      </c>
      <c r="C8" s="8">
        <v>12000</v>
      </c>
      <c r="D8" s="7" t="s">
        <v>11</v>
      </c>
      <c r="E8" s="7" t="s">
        <v>20</v>
      </c>
      <c r="F8" s="4" t="s">
        <v>9</v>
      </c>
    </row>
    <row r="9" spans="1:6" ht="12.75">
      <c r="A9" s="6" t="str">
        <f>HYPERLINK(SUBSTITUTE(T(hl_0),"{0}","900331848974590"),hn_0)</f>
        <v>ОВ</v>
      </c>
      <c r="B9" s="7" t="s">
        <v>13</v>
      </c>
      <c r="C9" s="8">
        <v>15000</v>
      </c>
      <c r="D9" s="7" t="s">
        <v>11</v>
      </c>
      <c r="E9" s="7" t="s">
        <v>20</v>
      </c>
      <c r="F9" s="4" t="s">
        <v>4</v>
      </c>
    </row>
    <row r="10" spans="1:5" ht="12.75">
      <c r="A10" s="6" t="str">
        <f>HYPERLINK(SUBSTITUTE(T(hl_0),"{0}","900332394580446"),hn_0)</f>
        <v>ОВ</v>
      </c>
      <c r="B10" s="7" t="s">
        <v>13</v>
      </c>
      <c r="C10" s="8">
        <v>12000</v>
      </c>
      <c r="D10" s="7" t="s">
        <v>11</v>
      </c>
      <c r="E10" s="7" t="s">
        <v>20</v>
      </c>
    </row>
    <row r="11" spans="1:5" ht="12.75">
      <c r="A11" s="6" t="str">
        <f>HYPERLINK(SUBSTITUTE(T(hl_0),"{0}","900332759326705"),hn_0)</f>
        <v>ОВ</v>
      </c>
      <c r="B11" s="7" t="s">
        <v>21</v>
      </c>
      <c r="C11" s="8">
        <v>10000</v>
      </c>
      <c r="D11" s="7" t="s">
        <v>11</v>
      </c>
      <c r="E11" s="7" t="s">
        <v>20</v>
      </c>
    </row>
    <row r="12" spans="1:5" ht="12.75">
      <c r="A12" s="6" t="str">
        <f>HYPERLINK(SUBSTITUTE(T(hl_0),"{0}","321332369429036"),hn_0)</f>
        <v>ОВ</v>
      </c>
      <c r="B12" s="7" t="s">
        <v>22</v>
      </c>
      <c r="C12" s="8">
        <v>7000</v>
      </c>
      <c r="D12" s="7" t="s">
        <v>23</v>
      </c>
      <c r="E12" s="7" t="s">
        <v>19</v>
      </c>
    </row>
    <row r="13" spans="1:5" ht="12.75">
      <c r="A13" s="6" t="str">
        <f>HYPERLINK(SUBSTITUTE(T(hl_0),"{0}","321332703765894"),hn_0)</f>
        <v>ОВ</v>
      </c>
      <c r="B13" s="7" t="s">
        <v>24</v>
      </c>
      <c r="C13" s="8">
        <v>6000</v>
      </c>
      <c r="D13" s="7" t="s">
        <v>18</v>
      </c>
      <c r="E13" s="7" t="s">
        <v>19</v>
      </c>
    </row>
    <row r="14" spans="1:5" ht="12.75">
      <c r="A14" s="6" t="str">
        <f>HYPERLINK(SUBSTITUTE(T(hl_0),"{0}","321332703765912"),hn_0)</f>
        <v>ОВ</v>
      </c>
      <c r="B14" s="7" t="s">
        <v>24</v>
      </c>
      <c r="C14" s="8">
        <v>6000</v>
      </c>
      <c r="D14" s="7" t="s">
        <v>18</v>
      </c>
      <c r="E14" s="7" t="s">
        <v>19</v>
      </c>
    </row>
    <row r="15" spans="1:5" ht="12.75">
      <c r="A15" s="6" t="str">
        <f>HYPERLINK(SUBSTITUTE(T(hl_0),"{0}","321332703756091"),hn_0)</f>
        <v>ОВ</v>
      </c>
      <c r="B15" s="7" t="s">
        <v>24</v>
      </c>
      <c r="C15" s="8">
        <v>6000</v>
      </c>
      <c r="D15" s="7" t="s">
        <v>18</v>
      </c>
      <c r="E15" s="7" t="s">
        <v>19</v>
      </c>
    </row>
    <row r="16" spans="1:5" ht="12.75">
      <c r="A16" s="6" t="str">
        <f>HYPERLINK(SUBSTITUTE(T(hl_0),"{0}","325332704358547"),hn_0)</f>
        <v>ОВ</v>
      </c>
      <c r="B16" s="7" t="s">
        <v>25</v>
      </c>
      <c r="C16" s="8">
        <v>5000</v>
      </c>
      <c r="D16" s="7" t="s">
        <v>26</v>
      </c>
      <c r="E16" s="7" t="s">
        <v>27</v>
      </c>
    </row>
    <row r="17" spans="1:5" ht="12.75">
      <c r="A17" s="6" t="str">
        <f>HYPERLINK(SUBSTITUTE(T(hl_0),"{0}","330332223380166"),hn_0)</f>
        <v>ОВ</v>
      </c>
      <c r="B17" s="7" t="s">
        <v>25</v>
      </c>
      <c r="C17" s="8">
        <v>6000</v>
      </c>
      <c r="D17" s="7" t="s">
        <v>28</v>
      </c>
      <c r="E17" s="7" t="s">
        <v>29</v>
      </c>
    </row>
    <row r="18" spans="1:5" ht="12.75">
      <c r="A18" s="6" t="str">
        <f>HYPERLINK(SUBSTITUTE(T(hl_0),"{0}","332331875267192"),hn_0)</f>
        <v>ОВ</v>
      </c>
      <c r="B18" s="7" t="s">
        <v>25</v>
      </c>
      <c r="C18" s="8">
        <v>7000</v>
      </c>
      <c r="D18" s="7" t="s">
        <v>30</v>
      </c>
      <c r="E18" s="7" t="s">
        <v>31</v>
      </c>
    </row>
    <row r="19" spans="1:5" ht="12.75">
      <c r="A19" s="6" t="str">
        <f>HYPERLINK(SUBSTITUTE(T(hl_0),"{0}","332329115558202"),hn_0)</f>
        <v>ОВ</v>
      </c>
      <c r="B19" s="7" t="s">
        <v>25</v>
      </c>
      <c r="C19" s="8">
        <v>7000</v>
      </c>
      <c r="D19" s="7" t="s">
        <v>30</v>
      </c>
      <c r="E19" s="7" t="s">
        <v>31</v>
      </c>
    </row>
    <row r="20" spans="1:5" ht="12.75">
      <c r="A20" s="6" t="str">
        <f>HYPERLINK(SUBSTITUTE(T(hl_0),"{0}","900332647426091"),hn_0)</f>
        <v>ОВ</v>
      </c>
      <c r="B20" s="7" t="s">
        <v>25</v>
      </c>
      <c r="C20" s="8">
        <v>7500</v>
      </c>
      <c r="D20" s="7" t="s">
        <v>11</v>
      </c>
      <c r="E20" s="7" t="s">
        <v>20</v>
      </c>
    </row>
    <row r="21" spans="1:5" ht="12.75">
      <c r="A21" s="6" t="str">
        <f>HYPERLINK(SUBSTITUTE(T(hl_0),"{0}","321332503824383"),hn_0)</f>
        <v>ОВ</v>
      </c>
      <c r="B21" s="7" t="s">
        <v>32</v>
      </c>
      <c r="C21" s="8">
        <v>6000</v>
      </c>
      <c r="D21" s="7" t="s">
        <v>23</v>
      </c>
      <c r="E21" s="7" t="s">
        <v>19</v>
      </c>
    </row>
    <row r="22" spans="1:5" ht="12.75">
      <c r="A22" s="6" t="str">
        <f>HYPERLINK(SUBSTITUTE(T(hl_0),"{0}","321332528413673"),hn_0)</f>
        <v>ОВ</v>
      </c>
      <c r="B22" s="7" t="s">
        <v>32</v>
      </c>
      <c r="C22" s="8">
        <v>6000</v>
      </c>
      <c r="D22" s="7" t="s">
        <v>23</v>
      </c>
      <c r="E22" s="7" t="s">
        <v>19</v>
      </c>
    </row>
    <row r="23" spans="1:5" ht="12.75">
      <c r="A23" s="6" t="str">
        <f>HYPERLINK(SUBSTITUTE(T(hl_0),"{0}","321327760877773"),hn_0)</f>
        <v>ОВ</v>
      </c>
      <c r="B23" s="7" t="s">
        <v>33</v>
      </c>
      <c r="C23" s="8">
        <v>6000</v>
      </c>
      <c r="D23" s="7" t="s">
        <v>23</v>
      </c>
      <c r="E23" s="7" t="s">
        <v>19</v>
      </c>
    </row>
    <row r="24" spans="1:5" ht="12.75">
      <c r="A24" s="6" t="str">
        <f>HYPERLINK(SUBSTITUTE(T(hl_0),"{0}","321327761954182"),hn_0)</f>
        <v>ОВ</v>
      </c>
      <c r="B24" s="7" t="s">
        <v>33</v>
      </c>
      <c r="C24" s="8">
        <v>6000</v>
      </c>
      <c r="D24" s="7" t="s">
        <v>23</v>
      </c>
      <c r="E24" s="7" t="s">
        <v>19</v>
      </c>
    </row>
    <row r="25" spans="1:5" ht="12.75">
      <c r="A25" s="6" t="str">
        <f>HYPERLINK(SUBSTITUTE(T(hl_0),"{0}","900331899730676"),hn_0)</f>
        <v>ОВ</v>
      </c>
      <c r="B25" s="7" t="s">
        <v>35</v>
      </c>
      <c r="C25" s="8">
        <v>7000</v>
      </c>
      <c r="D25" s="7" t="s">
        <v>11</v>
      </c>
      <c r="E25" s="7" t="s">
        <v>20</v>
      </c>
    </row>
    <row r="26" spans="1:5" ht="12.75">
      <c r="A26" s="6" t="str">
        <f>HYPERLINK(SUBSTITUTE(T(hl_0),"{0}","900331899730676"),hn_0)</f>
        <v>ОВ</v>
      </c>
      <c r="B26" s="7" t="s">
        <v>35</v>
      </c>
      <c r="C26" s="8">
        <v>7000</v>
      </c>
      <c r="D26" s="7" t="s">
        <v>11</v>
      </c>
      <c r="E26" s="7" t="s">
        <v>20</v>
      </c>
    </row>
    <row r="27" spans="1:5" ht="12.75">
      <c r="A27" s="6" t="str">
        <f>HYPERLINK(SUBSTITUTE(T(hl_0),"{0}","900331899730676"),hn_0)</f>
        <v>ОВ</v>
      </c>
      <c r="B27" s="7" t="s">
        <v>35</v>
      </c>
      <c r="C27" s="8">
        <v>7000</v>
      </c>
      <c r="D27" s="7" t="s">
        <v>11</v>
      </c>
      <c r="E27" s="7" t="s">
        <v>20</v>
      </c>
    </row>
    <row r="28" spans="1:5" ht="12.75">
      <c r="A28" s="6" t="str">
        <f>HYPERLINK(SUBSTITUTE(T(hl_0),"{0}","900331903887201"),hn_0)</f>
        <v>ОВ</v>
      </c>
      <c r="B28" s="7" t="s">
        <v>35</v>
      </c>
      <c r="C28" s="8">
        <v>7000</v>
      </c>
      <c r="D28" s="7" t="s">
        <v>16</v>
      </c>
      <c r="E28" s="7" t="s">
        <v>20</v>
      </c>
    </row>
    <row r="29" spans="1:5" ht="12.75">
      <c r="A29" s="6" t="str">
        <f>HYPERLINK(SUBSTITUTE(T(hl_0),"{0}","900331903887201"),hn_0)</f>
        <v>ОВ</v>
      </c>
      <c r="B29" s="7" t="s">
        <v>35</v>
      </c>
      <c r="C29" s="8">
        <v>7000</v>
      </c>
      <c r="D29" s="7" t="s">
        <v>16</v>
      </c>
      <c r="E29" s="7" t="s">
        <v>20</v>
      </c>
    </row>
    <row r="30" spans="1:5" ht="12.75">
      <c r="A30" s="6" t="str">
        <f>HYPERLINK(SUBSTITUTE(T(hl_0),"{0}","900331903887201"),hn_0)</f>
        <v>ОВ</v>
      </c>
      <c r="B30" s="7" t="s">
        <v>35</v>
      </c>
      <c r="C30" s="8">
        <v>7000</v>
      </c>
      <c r="D30" s="7" t="s">
        <v>16</v>
      </c>
      <c r="E30" s="7" t="s">
        <v>20</v>
      </c>
    </row>
    <row r="31" spans="1:5" ht="12.75">
      <c r="A31" s="6" t="str">
        <f>HYPERLINK(SUBSTITUTE(T(hl_0),"{0}","900331903887207"),hn_0)</f>
        <v>ОВ</v>
      </c>
      <c r="B31" s="7" t="s">
        <v>35</v>
      </c>
      <c r="C31" s="8">
        <v>7000</v>
      </c>
      <c r="D31" s="7" t="s">
        <v>34</v>
      </c>
      <c r="E31" s="7" t="s">
        <v>20</v>
      </c>
    </row>
    <row r="32" spans="1:5" ht="12.75">
      <c r="A32" s="6" t="str">
        <f>HYPERLINK(SUBSTITUTE(T(hl_0),"{0}","900331903887207"),hn_0)</f>
        <v>ОВ</v>
      </c>
      <c r="B32" s="7" t="s">
        <v>35</v>
      </c>
      <c r="C32" s="8">
        <v>7000</v>
      </c>
      <c r="D32" s="7" t="s">
        <v>34</v>
      </c>
      <c r="E32" s="7" t="s">
        <v>20</v>
      </c>
    </row>
    <row r="33" spans="1:5" ht="12.75">
      <c r="A33" s="6" t="str">
        <f>HYPERLINK(SUBSTITUTE(T(hl_0),"{0}","900331903887207"),hn_0)</f>
        <v>ОВ</v>
      </c>
      <c r="B33" s="7" t="s">
        <v>35</v>
      </c>
      <c r="C33" s="8">
        <v>7000</v>
      </c>
      <c r="D33" s="7" t="s">
        <v>34</v>
      </c>
      <c r="E33" s="7" t="s">
        <v>20</v>
      </c>
    </row>
    <row r="34" spans="1:5" ht="12.75">
      <c r="A34" s="6" t="str">
        <f>HYPERLINK(SUBSTITUTE(T(hl_0),"{0}","900331899733390"),hn_0)</f>
        <v>ОВ</v>
      </c>
      <c r="B34" s="7" t="s">
        <v>35</v>
      </c>
      <c r="C34" s="8">
        <v>7000</v>
      </c>
      <c r="D34" s="7" t="s">
        <v>11</v>
      </c>
      <c r="E34" s="7" t="s">
        <v>20</v>
      </c>
    </row>
    <row r="35" spans="1:5" ht="12.75">
      <c r="A35" s="6" t="str">
        <f>HYPERLINK(SUBSTITUTE(T(hl_0),"{0}","900331899733390"),hn_0)</f>
        <v>ОВ</v>
      </c>
      <c r="B35" s="7" t="s">
        <v>35</v>
      </c>
      <c r="C35" s="8">
        <v>7000</v>
      </c>
      <c r="D35" s="7" t="s">
        <v>11</v>
      </c>
      <c r="E35" s="7" t="s">
        <v>20</v>
      </c>
    </row>
    <row r="36" spans="1:5" ht="12.75">
      <c r="A36" s="6" t="str">
        <f>HYPERLINK(SUBSTITUTE(T(hl_0),"{0}","900331899733390"),hn_0)</f>
        <v>ОВ</v>
      </c>
      <c r="B36" s="7" t="s">
        <v>35</v>
      </c>
      <c r="C36" s="8">
        <v>7000</v>
      </c>
      <c r="D36" s="7" t="s">
        <v>11</v>
      </c>
      <c r="E36" s="7" t="s">
        <v>20</v>
      </c>
    </row>
    <row r="37" spans="1:5" ht="12.75">
      <c r="A37" s="6" t="str">
        <f>HYPERLINK(SUBSTITUTE(T(hl_0),"{0}","900331903924478"),hn_0)</f>
        <v>ОВ</v>
      </c>
      <c r="B37" s="7" t="s">
        <v>35</v>
      </c>
      <c r="C37" s="8">
        <v>7000</v>
      </c>
      <c r="D37" s="7" t="s">
        <v>36</v>
      </c>
      <c r="E37" s="7" t="s">
        <v>20</v>
      </c>
    </row>
    <row r="38" spans="1:5" ht="12.75">
      <c r="A38" s="6" t="str">
        <f>HYPERLINK(SUBSTITUTE(T(hl_0),"{0}","900331903924478"),hn_0)</f>
        <v>ОВ</v>
      </c>
      <c r="B38" s="7" t="s">
        <v>35</v>
      </c>
      <c r="C38" s="8">
        <v>7000</v>
      </c>
      <c r="D38" s="7" t="s">
        <v>36</v>
      </c>
      <c r="E38" s="7" t="s">
        <v>20</v>
      </c>
    </row>
    <row r="39" spans="1:5" ht="12.75">
      <c r="A39" s="6" t="str">
        <f>HYPERLINK(SUBSTITUTE(T(hl_0),"{0}","900331903924478"),hn_0)</f>
        <v>ОВ</v>
      </c>
      <c r="B39" s="7" t="s">
        <v>35</v>
      </c>
      <c r="C39" s="8">
        <v>7000</v>
      </c>
      <c r="D39" s="7" t="s">
        <v>36</v>
      </c>
      <c r="E39" s="7" t="s">
        <v>20</v>
      </c>
    </row>
    <row r="40" spans="1:5" ht="12.75">
      <c r="A40" s="6" t="str">
        <f>HYPERLINK(SUBSTITUTE(T(hl_0),"{0}","900331903924490"),hn_0)</f>
        <v>ОВ</v>
      </c>
      <c r="B40" s="7" t="s">
        <v>35</v>
      </c>
      <c r="C40" s="8">
        <v>7000</v>
      </c>
      <c r="D40" s="7" t="s">
        <v>37</v>
      </c>
      <c r="E40" s="7" t="s">
        <v>20</v>
      </c>
    </row>
    <row r="41" spans="1:5" ht="12.75">
      <c r="A41" s="6" t="str">
        <f>HYPERLINK(SUBSTITUTE(T(hl_0),"{0}","900331903924490"),hn_0)</f>
        <v>ОВ</v>
      </c>
      <c r="B41" s="7" t="s">
        <v>35</v>
      </c>
      <c r="C41" s="8">
        <v>7000</v>
      </c>
      <c r="D41" s="7" t="s">
        <v>37</v>
      </c>
      <c r="E41" s="7" t="s">
        <v>20</v>
      </c>
    </row>
    <row r="42" spans="1:5" ht="12.75">
      <c r="A42" s="6" t="str">
        <f>HYPERLINK(SUBSTITUTE(T(hl_0),"{0}","900331903924490"),hn_0)</f>
        <v>ОВ</v>
      </c>
      <c r="B42" s="7" t="s">
        <v>35</v>
      </c>
      <c r="C42" s="8">
        <v>7000</v>
      </c>
      <c r="D42" s="7" t="s">
        <v>37</v>
      </c>
      <c r="E42" s="7" t="s">
        <v>20</v>
      </c>
    </row>
    <row r="43" spans="1:5" ht="12.75">
      <c r="A43" s="6" t="str">
        <f>HYPERLINK(SUBSTITUTE(T(hl_0),"{0}","900331903845302"),hn_0)</f>
        <v>ОВ</v>
      </c>
      <c r="B43" s="7" t="s">
        <v>35</v>
      </c>
      <c r="C43" s="8">
        <v>7000</v>
      </c>
      <c r="D43" s="7" t="s">
        <v>14</v>
      </c>
      <c r="E43" s="7" t="s">
        <v>20</v>
      </c>
    </row>
    <row r="44" spans="1:5" ht="12.75">
      <c r="A44" s="6" t="str">
        <f>HYPERLINK(SUBSTITUTE(T(hl_0),"{0}","900331903845302"),hn_0)</f>
        <v>ОВ</v>
      </c>
      <c r="B44" s="7" t="s">
        <v>35</v>
      </c>
      <c r="C44" s="8">
        <v>7000</v>
      </c>
      <c r="D44" s="7" t="s">
        <v>14</v>
      </c>
      <c r="E44" s="7" t="s">
        <v>20</v>
      </c>
    </row>
    <row r="45" spans="1:5" ht="12.75">
      <c r="A45" s="6" t="str">
        <f>HYPERLINK(SUBSTITUTE(T(hl_0),"{0}","900331903845302"),hn_0)</f>
        <v>ОВ</v>
      </c>
      <c r="B45" s="7" t="s">
        <v>35</v>
      </c>
      <c r="C45" s="8">
        <v>7000</v>
      </c>
      <c r="D45" s="7" t="s">
        <v>14</v>
      </c>
      <c r="E45" s="7" t="s">
        <v>20</v>
      </c>
    </row>
    <row r="46" spans="1:5" ht="12.75">
      <c r="A46" s="6" t="str">
        <f>HYPERLINK(SUBSTITUTE(T(hl_0),"{0}","900331903845308"),hn_0)</f>
        <v>ОВ</v>
      </c>
      <c r="B46" s="7" t="s">
        <v>35</v>
      </c>
      <c r="C46" s="8">
        <v>7000</v>
      </c>
      <c r="D46" s="7" t="s">
        <v>14</v>
      </c>
      <c r="E46" s="7" t="s">
        <v>20</v>
      </c>
    </row>
    <row r="47" spans="1:5" ht="12.75">
      <c r="A47" s="6" t="str">
        <f>HYPERLINK(SUBSTITUTE(T(hl_0),"{0}","900331903845308"),hn_0)</f>
        <v>ОВ</v>
      </c>
      <c r="B47" s="7" t="s">
        <v>35</v>
      </c>
      <c r="C47" s="8">
        <v>7000</v>
      </c>
      <c r="D47" s="7" t="s">
        <v>14</v>
      </c>
      <c r="E47" s="7" t="s">
        <v>20</v>
      </c>
    </row>
    <row r="48" spans="1:5" ht="12.75">
      <c r="A48" s="6" t="str">
        <f>HYPERLINK(SUBSTITUTE(T(hl_0),"{0}","900331903845308"),hn_0)</f>
        <v>ОВ</v>
      </c>
      <c r="B48" s="7" t="s">
        <v>35</v>
      </c>
      <c r="C48" s="8">
        <v>7000</v>
      </c>
      <c r="D48" s="7" t="s">
        <v>14</v>
      </c>
      <c r="E48" s="7" t="s">
        <v>20</v>
      </c>
    </row>
    <row r="49" spans="1:5" ht="12.75">
      <c r="A49" s="6" t="str">
        <f>HYPERLINK(SUBSTITUTE(T(hl_0),"{0}","900331903845314"),hn_0)</f>
        <v>ОВ</v>
      </c>
      <c r="B49" s="7" t="s">
        <v>35</v>
      </c>
      <c r="C49" s="8">
        <v>7000</v>
      </c>
      <c r="D49" s="7" t="s">
        <v>14</v>
      </c>
      <c r="E49" s="7" t="s">
        <v>20</v>
      </c>
    </row>
    <row r="50" spans="1:5" ht="12.75">
      <c r="A50" s="6" t="str">
        <f>HYPERLINK(SUBSTITUTE(T(hl_0),"{0}","900331903845314"),hn_0)</f>
        <v>ОВ</v>
      </c>
      <c r="B50" s="7" t="s">
        <v>35</v>
      </c>
      <c r="C50" s="8">
        <v>7000</v>
      </c>
      <c r="D50" s="7" t="s">
        <v>14</v>
      </c>
      <c r="E50" s="7" t="s">
        <v>20</v>
      </c>
    </row>
    <row r="51" spans="1:5" ht="12.75">
      <c r="A51" s="6" t="str">
        <f>HYPERLINK(SUBSTITUTE(T(hl_0),"{0}","900331903845314"),hn_0)</f>
        <v>ОВ</v>
      </c>
      <c r="B51" s="7" t="s">
        <v>35</v>
      </c>
      <c r="C51" s="8">
        <v>7000</v>
      </c>
      <c r="D51" s="7" t="s">
        <v>14</v>
      </c>
      <c r="E51" s="7" t="s">
        <v>20</v>
      </c>
    </row>
    <row r="52" spans="1:5" ht="12.75">
      <c r="A52" s="6" t="str">
        <f>HYPERLINK(SUBSTITUTE(T(hl_0),"{0}","900331903845320"),hn_0)</f>
        <v>ОВ</v>
      </c>
      <c r="B52" s="7" t="s">
        <v>35</v>
      </c>
      <c r="C52" s="8">
        <v>7000</v>
      </c>
      <c r="D52" s="7" t="s">
        <v>14</v>
      </c>
      <c r="E52" s="7" t="s">
        <v>20</v>
      </c>
    </row>
    <row r="53" spans="1:5" ht="12.75">
      <c r="A53" s="6" t="str">
        <f>HYPERLINK(SUBSTITUTE(T(hl_0),"{0}","900331903845320"),hn_0)</f>
        <v>ОВ</v>
      </c>
      <c r="B53" s="7" t="s">
        <v>35</v>
      </c>
      <c r="C53" s="8">
        <v>7000</v>
      </c>
      <c r="D53" s="7" t="s">
        <v>14</v>
      </c>
      <c r="E53" s="7" t="s">
        <v>20</v>
      </c>
    </row>
    <row r="54" spans="1:5" ht="12.75">
      <c r="A54" s="6" t="str">
        <f>HYPERLINK(SUBSTITUTE(T(hl_0),"{0}","900331903845320"),hn_0)</f>
        <v>ОВ</v>
      </c>
      <c r="B54" s="7" t="s">
        <v>35</v>
      </c>
      <c r="C54" s="8">
        <v>7000</v>
      </c>
      <c r="D54" s="7" t="s">
        <v>14</v>
      </c>
      <c r="E54" s="7" t="s">
        <v>20</v>
      </c>
    </row>
    <row r="55" spans="1:5" ht="12.75">
      <c r="A55" s="6" t="str">
        <f>HYPERLINK(SUBSTITUTE(T(hl_0),"{0}","900331899733396"),hn_0)</f>
        <v>ОВ</v>
      </c>
      <c r="B55" s="7" t="s">
        <v>35</v>
      </c>
      <c r="C55" s="8">
        <v>7000</v>
      </c>
      <c r="D55" s="7" t="s">
        <v>11</v>
      </c>
      <c r="E55" s="7" t="s">
        <v>20</v>
      </c>
    </row>
    <row r="56" spans="1:5" ht="12.75">
      <c r="A56" s="6" t="str">
        <f>HYPERLINK(SUBSTITUTE(T(hl_0),"{0}","900331899733396"),hn_0)</f>
        <v>ОВ</v>
      </c>
      <c r="B56" s="7" t="s">
        <v>35</v>
      </c>
      <c r="C56" s="8">
        <v>7000</v>
      </c>
      <c r="D56" s="7" t="s">
        <v>11</v>
      </c>
      <c r="E56" s="7" t="s">
        <v>20</v>
      </c>
    </row>
    <row r="57" spans="1:5" ht="12.75">
      <c r="A57" s="6" t="str">
        <f>HYPERLINK(SUBSTITUTE(T(hl_0),"{0}","900331899733396"),hn_0)</f>
        <v>ОВ</v>
      </c>
      <c r="B57" s="7" t="s">
        <v>35</v>
      </c>
      <c r="C57" s="8">
        <v>7000</v>
      </c>
      <c r="D57" s="7" t="s">
        <v>11</v>
      </c>
      <c r="E57" s="7" t="s">
        <v>20</v>
      </c>
    </row>
    <row r="58" spans="1:5" ht="12.75">
      <c r="A58" s="6" t="str">
        <f>HYPERLINK(SUBSTITUTE(T(hl_0),"{0}","321331702650745"),hn_0)</f>
        <v>ОВ</v>
      </c>
      <c r="B58" s="7" t="s">
        <v>38</v>
      </c>
      <c r="C58" s="8">
        <v>8000</v>
      </c>
      <c r="D58" s="7" t="s">
        <v>18</v>
      </c>
      <c r="E58" s="7" t="s">
        <v>19</v>
      </c>
    </row>
    <row r="59" spans="1:5" ht="12.75">
      <c r="A59" s="6" t="str">
        <f>HYPERLINK(SUBSTITUTE(T(hl_0),"{0}","321332554135329"),hn_0)</f>
        <v>ОВ</v>
      </c>
      <c r="B59" s="7" t="s">
        <v>38</v>
      </c>
      <c r="C59" s="8">
        <v>8500</v>
      </c>
      <c r="D59" s="7" t="s">
        <v>18</v>
      </c>
      <c r="E59" s="7" t="s">
        <v>19</v>
      </c>
    </row>
    <row r="60" spans="1:5" ht="12.75">
      <c r="A60" s="6" t="str">
        <f>HYPERLINK(SUBSTITUTE(T(hl_0),"{0}","326327689840714"),hn_0)</f>
        <v>ОВ</v>
      </c>
      <c r="B60" s="7" t="s">
        <v>38</v>
      </c>
      <c r="C60" s="8">
        <v>6000</v>
      </c>
      <c r="D60" s="7" t="s">
        <v>39</v>
      </c>
      <c r="E60" s="7" t="s">
        <v>40</v>
      </c>
    </row>
    <row r="61" spans="1:5" ht="12.75">
      <c r="A61" s="6" t="str">
        <f>HYPERLINK(SUBSTITUTE(T(hl_0),"{0}","326327689840714"),hn_0)</f>
        <v>ОВ</v>
      </c>
      <c r="B61" s="7" t="s">
        <v>38</v>
      </c>
      <c r="C61" s="8">
        <v>6000</v>
      </c>
      <c r="D61" s="7" t="s">
        <v>39</v>
      </c>
      <c r="E61" s="7" t="s">
        <v>40</v>
      </c>
    </row>
    <row r="62" spans="1:5" ht="12.75">
      <c r="A62" s="6" t="str">
        <f>HYPERLINK(SUBSTITUTE(T(hl_0),"{0}","327328111006728"),hn_0)</f>
        <v>ОВ</v>
      </c>
      <c r="B62" s="7" t="s">
        <v>38</v>
      </c>
      <c r="C62" s="8">
        <v>5100</v>
      </c>
      <c r="D62" s="7" t="s">
        <v>41</v>
      </c>
      <c r="E62" s="7" t="s">
        <v>12</v>
      </c>
    </row>
    <row r="63" spans="1:5" ht="12.75">
      <c r="A63" s="6" t="str">
        <f>HYPERLINK(SUBSTITUTE(T(hl_0),"{0}","329332077565807"),hn_0)</f>
        <v>ОВ</v>
      </c>
      <c r="B63" s="7" t="s">
        <v>38</v>
      </c>
      <c r="C63" s="8">
        <v>5000</v>
      </c>
      <c r="D63" s="7" t="s">
        <v>42</v>
      </c>
      <c r="E63" s="7" t="s">
        <v>43</v>
      </c>
    </row>
    <row r="64" spans="1:5" ht="12.75">
      <c r="A64" s="6" t="str">
        <f>HYPERLINK(SUBSTITUTE(T(hl_0),"{0}","330331816548167"),hn_0)</f>
        <v>ОВ</v>
      </c>
      <c r="B64" s="7" t="s">
        <v>38</v>
      </c>
      <c r="C64" s="8">
        <v>5000</v>
      </c>
      <c r="D64" s="7" t="s">
        <v>44</v>
      </c>
      <c r="E64" s="7" t="s">
        <v>29</v>
      </c>
    </row>
    <row r="65" spans="1:5" ht="12.75">
      <c r="A65" s="6" t="str">
        <f>HYPERLINK(SUBSTITUTE(T(hl_0),"{0}","900332706300473"),hn_0)</f>
        <v>ОВ</v>
      </c>
      <c r="B65" s="7" t="s">
        <v>38</v>
      </c>
      <c r="C65" s="8">
        <v>5000</v>
      </c>
      <c r="D65" s="7" t="s">
        <v>11</v>
      </c>
      <c r="E65" s="7" t="s">
        <v>20</v>
      </c>
    </row>
    <row r="66" spans="1:5" ht="12.75">
      <c r="A66" s="6" t="str">
        <f>HYPERLINK(SUBSTITUTE(T(hl_0),"{0}","322332678792309"),hn_0)</f>
        <v>ОВ</v>
      </c>
      <c r="B66" s="7" t="s">
        <v>45</v>
      </c>
      <c r="C66" s="8">
        <v>5500</v>
      </c>
      <c r="D66" s="7" t="s">
        <v>46</v>
      </c>
      <c r="E66" s="7" t="s">
        <v>47</v>
      </c>
    </row>
    <row r="67" spans="1:5" ht="25.5">
      <c r="A67" s="6" t="str">
        <f>HYPERLINK(SUBSTITUTE(T(hl_0),"{0}","332327315224812"),hn_0)</f>
        <v>ОВ</v>
      </c>
      <c r="B67" s="7" t="s">
        <v>48</v>
      </c>
      <c r="C67" s="8">
        <v>6000</v>
      </c>
      <c r="D67" s="7" t="s">
        <v>49</v>
      </c>
      <c r="E67" s="7" t="s">
        <v>31</v>
      </c>
    </row>
    <row r="68" spans="1:5" ht="25.5">
      <c r="A68" s="6" t="str">
        <f>HYPERLINK(SUBSTITUTE(T(hl_0),"{0}","900332760215597"),hn_0)</f>
        <v>ОВ</v>
      </c>
      <c r="B68" s="7" t="s">
        <v>48</v>
      </c>
      <c r="C68" s="8">
        <v>10000</v>
      </c>
      <c r="D68" s="7" t="s">
        <v>11</v>
      </c>
      <c r="E68" s="7" t="s">
        <v>20</v>
      </c>
    </row>
    <row r="69" spans="1:5" ht="12.75">
      <c r="A69" s="6" t="str">
        <f>HYPERLINK(SUBSTITUTE(T(hl_0),"{0}","322332250677584"),hn_0)</f>
        <v>ОВ</v>
      </c>
      <c r="B69" s="7" t="s">
        <v>50</v>
      </c>
      <c r="C69" s="8">
        <v>8000</v>
      </c>
      <c r="D69" s="7" t="s">
        <v>36</v>
      </c>
      <c r="E69" s="7" t="s">
        <v>47</v>
      </c>
    </row>
    <row r="70" spans="1:5" ht="12.75">
      <c r="A70" s="6" t="str">
        <f>HYPERLINK(SUBSTITUTE(T(hl_0),"{0}","900332416213027"),hn_0)</f>
        <v>ОВ</v>
      </c>
      <c r="B70" s="7" t="s">
        <v>51</v>
      </c>
      <c r="C70" s="8">
        <v>9000</v>
      </c>
      <c r="D70" s="7" t="s">
        <v>11</v>
      </c>
      <c r="E70" s="7" t="s">
        <v>20</v>
      </c>
    </row>
    <row r="71" spans="1:5" ht="12.75">
      <c r="A71" s="6" t="str">
        <f>HYPERLINK(SUBSTITUTE(T(hl_0),"{0}","900330084452266"),hn_0)</f>
        <v>ОВ</v>
      </c>
      <c r="B71" s="7" t="s">
        <v>51</v>
      </c>
      <c r="C71" s="8">
        <v>6500</v>
      </c>
      <c r="D71" s="7" t="s">
        <v>11</v>
      </c>
      <c r="E71" s="7" t="s">
        <v>20</v>
      </c>
    </row>
    <row r="72" spans="1:5" ht="12.75">
      <c r="A72" s="6" t="str">
        <f>HYPERLINK(SUBSTITUTE(T(hl_0),"{0}","900332583080292"),hn_0)</f>
        <v>ОВ</v>
      </c>
      <c r="B72" s="7" t="s">
        <v>52</v>
      </c>
      <c r="C72" s="8">
        <v>9000</v>
      </c>
      <c r="D72" s="7" t="s">
        <v>53</v>
      </c>
      <c r="E72" s="7" t="s">
        <v>20</v>
      </c>
    </row>
    <row r="73" spans="1:5" ht="12.75">
      <c r="A73" s="6" t="str">
        <f>HYPERLINK(SUBSTITUTE(T(hl_0),"{0}","900327859523814"),hn_0)</f>
        <v>ОВ</v>
      </c>
      <c r="B73" s="7" t="s">
        <v>54</v>
      </c>
      <c r="C73" s="8">
        <v>6000</v>
      </c>
      <c r="D73" s="7" t="s">
        <v>11</v>
      </c>
      <c r="E73" s="7" t="s">
        <v>20</v>
      </c>
    </row>
    <row r="74" spans="1:5" ht="25.5">
      <c r="A74" s="6" t="str">
        <f>HYPERLINK(SUBSTITUTE(T(hl_0),"{0}","321328111973149"),hn_0)</f>
        <v>ОВ</v>
      </c>
      <c r="B74" s="7" t="s">
        <v>55</v>
      </c>
      <c r="C74" s="8">
        <v>12000</v>
      </c>
      <c r="D74" s="7" t="s">
        <v>18</v>
      </c>
      <c r="E74" s="7" t="s">
        <v>19</v>
      </c>
    </row>
    <row r="75" spans="1:5" ht="12.75">
      <c r="A75" s="6" t="str">
        <f>HYPERLINK(SUBSTITUTE(T(hl_0),"{0}","328332147563775"),hn_0)</f>
        <v>ОВ</v>
      </c>
      <c r="B75" s="7" t="s">
        <v>56</v>
      </c>
      <c r="C75" s="8">
        <v>5736</v>
      </c>
      <c r="D75" s="7" t="s">
        <v>57</v>
      </c>
      <c r="E75" s="7" t="s">
        <v>58</v>
      </c>
    </row>
    <row r="76" spans="1:5" ht="12.75">
      <c r="A76" s="6" t="str">
        <f>HYPERLINK(SUBSTITUTE(T(hl_0),"{0}","900331535102691"),hn_0)</f>
        <v>ОВ</v>
      </c>
      <c r="B76" s="7" t="s">
        <v>56</v>
      </c>
      <c r="C76" s="8">
        <v>7500</v>
      </c>
      <c r="D76" s="7" t="s">
        <v>11</v>
      </c>
      <c r="E76" s="7" t="s">
        <v>20</v>
      </c>
    </row>
    <row r="77" spans="1:5" ht="12.75">
      <c r="A77" s="6" t="str">
        <f>HYPERLINK(SUBSTITUTE(T(hl_0),"{0}","319327465880065"),hn_0)</f>
        <v>ОВ</v>
      </c>
      <c r="B77" s="7" t="s">
        <v>59</v>
      </c>
      <c r="C77" s="8">
        <v>8000</v>
      </c>
      <c r="D77" s="7" t="s">
        <v>14</v>
      </c>
      <c r="E77" s="7" t="s">
        <v>15</v>
      </c>
    </row>
    <row r="78" spans="1:5" ht="12.75">
      <c r="A78" s="6" t="str">
        <f>HYPERLINK(SUBSTITUTE(T(hl_0),"{0}","327331871236668"),hn_0)</f>
        <v>ОВ</v>
      </c>
      <c r="B78" s="7" t="s">
        <v>59</v>
      </c>
      <c r="C78" s="8">
        <v>8000</v>
      </c>
      <c r="D78" s="7" t="s">
        <v>41</v>
      </c>
      <c r="E78" s="7" t="s">
        <v>12</v>
      </c>
    </row>
    <row r="79" spans="1:5" ht="12.75">
      <c r="A79" s="6" t="str">
        <f>HYPERLINK(SUBSTITUTE(T(hl_0),"{0}","900331674085747"),hn_0)</f>
        <v>ОВ</v>
      </c>
      <c r="B79" s="7" t="s">
        <v>59</v>
      </c>
      <c r="C79" s="8">
        <v>8000</v>
      </c>
      <c r="D79" s="7" t="s">
        <v>41</v>
      </c>
      <c r="E79" s="7" t="s">
        <v>20</v>
      </c>
    </row>
    <row r="80" spans="1:5" ht="25.5">
      <c r="A80" s="6" t="str">
        <f>HYPERLINK(SUBSTITUTE(T(hl_0),"{0}","321328012484076"),hn_0)</f>
        <v>ОВ</v>
      </c>
      <c r="B80" s="7" t="s">
        <v>60</v>
      </c>
      <c r="C80" s="8">
        <v>10500</v>
      </c>
      <c r="D80" s="7" t="s">
        <v>18</v>
      </c>
      <c r="E80" s="7" t="s">
        <v>19</v>
      </c>
    </row>
    <row r="81" spans="1:5" ht="25.5">
      <c r="A81" s="6" t="str">
        <f>HYPERLINK(SUBSTITUTE(T(hl_0),"{0}","321328012484076"),hn_0)</f>
        <v>ОВ</v>
      </c>
      <c r="B81" s="7" t="s">
        <v>60</v>
      </c>
      <c r="C81" s="8">
        <v>10500</v>
      </c>
      <c r="D81" s="7" t="s">
        <v>18</v>
      </c>
      <c r="E81" s="7" t="s">
        <v>19</v>
      </c>
    </row>
    <row r="82" spans="1:5" ht="25.5">
      <c r="A82" s="6" t="str">
        <f>HYPERLINK(SUBSTITUTE(T(hl_0),"{0}","900332417901524"),hn_0)</f>
        <v>ОВ</v>
      </c>
      <c r="B82" s="7" t="s">
        <v>60</v>
      </c>
      <c r="C82" s="8">
        <v>10000</v>
      </c>
      <c r="D82" s="7" t="s">
        <v>11</v>
      </c>
      <c r="E82" s="7" t="s">
        <v>20</v>
      </c>
    </row>
    <row r="83" spans="1:5" ht="12.75">
      <c r="A83" s="6" t="str">
        <f>HYPERLINK(SUBSTITUTE(T(hl_0),"{0}","319331648415963"),hn_0)</f>
        <v>ОВ</v>
      </c>
      <c r="B83" s="7" t="s">
        <v>61</v>
      </c>
      <c r="C83" s="8">
        <v>6000</v>
      </c>
      <c r="D83" s="7" t="s">
        <v>14</v>
      </c>
      <c r="E83" s="7" t="s">
        <v>15</v>
      </c>
    </row>
    <row r="84" spans="1:5" ht="12.75">
      <c r="A84" s="6" t="str">
        <f>HYPERLINK(SUBSTITUTE(T(hl_0),"{0}","319331648377103"),hn_0)</f>
        <v>ОВ</v>
      </c>
      <c r="B84" s="7" t="s">
        <v>61</v>
      </c>
      <c r="C84" s="8">
        <v>6000</v>
      </c>
      <c r="D84" s="7" t="s">
        <v>14</v>
      </c>
      <c r="E84" s="7" t="s">
        <v>15</v>
      </c>
    </row>
    <row r="85" spans="1:5" ht="12.75">
      <c r="A85" s="6" t="str">
        <f>HYPERLINK(SUBSTITUTE(T(hl_0),"{0}","321330360745978"),hn_0)</f>
        <v>ОВ</v>
      </c>
      <c r="B85" s="7" t="s">
        <v>61</v>
      </c>
      <c r="C85" s="8">
        <v>5890</v>
      </c>
      <c r="D85" s="7" t="s">
        <v>18</v>
      </c>
      <c r="E85" s="7" t="s">
        <v>19</v>
      </c>
    </row>
    <row r="86" spans="1:5" ht="12.75">
      <c r="A86" s="6" t="str">
        <f>HYPERLINK(SUBSTITUTE(T(hl_0),"{0}","321330360745978"),hn_0)</f>
        <v>ОВ</v>
      </c>
      <c r="B86" s="7" t="s">
        <v>61</v>
      </c>
      <c r="C86" s="8">
        <v>5890</v>
      </c>
      <c r="D86" s="7" t="s">
        <v>18</v>
      </c>
      <c r="E86" s="7" t="s">
        <v>19</v>
      </c>
    </row>
    <row r="87" spans="1:5" ht="25.5">
      <c r="A87" s="6" t="str">
        <f>HYPERLINK(SUBSTITUTE(T(hl_0),"{0}","326330495079776"),hn_0)</f>
        <v>ОВ</v>
      </c>
      <c r="B87" s="7" t="s">
        <v>62</v>
      </c>
      <c r="C87" s="8">
        <v>7000</v>
      </c>
      <c r="D87" s="7" t="s">
        <v>63</v>
      </c>
      <c r="E87" s="7" t="s">
        <v>40</v>
      </c>
    </row>
    <row r="88" spans="1:5" ht="12.75">
      <c r="A88" s="6" t="str">
        <f>HYPERLINK(SUBSTITUTE(T(hl_0),"{0}","900331903349522"),hn_0)</f>
        <v>ОВ</v>
      </c>
      <c r="B88" s="7" t="s">
        <v>64</v>
      </c>
      <c r="C88" s="8">
        <v>6000</v>
      </c>
      <c r="D88" s="7" t="s">
        <v>34</v>
      </c>
      <c r="E88" s="7" t="s">
        <v>20</v>
      </c>
    </row>
    <row r="89" spans="1:5" ht="12.75">
      <c r="A89" s="6" t="str">
        <f>HYPERLINK(SUBSTITUTE(T(hl_0),"{0}","900331903349522"),hn_0)</f>
        <v>ОВ</v>
      </c>
      <c r="B89" s="7" t="s">
        <v>64</v>
      </c>
      <c r="C89" s="8">
        <v>6000</v>
      </c>
      <c r="D89" s="7" t="s">
        <v>34</v>
      </c>
      <c r="E89" s="7" t="s">
        <v>20</v>
      </c>
    </row>
    <row r="90" spans="1:5" ht="12.75">
      <c r="A90" s="6" t="str">
        <f>HYPERLINK(SUBSTITUTE(T(hl_0),"{0}","900331903349522"),hn_0)</f>
        <v>ОВ</v>
      </c>
      <c r="B90" s="7" t="s">
        <v>64</v>
      </c>
      <c r="C90" s="8">
        <v>6000</v>
      </c>
      <c r="D90" s="7" t="s">
        <v>34</v>
      </c>
      <c r="E90" s="7" t="s">
        <v>20</v>
      </c>
    </row>
    <row r="91" spans="1:5" ht="12.75">
      <c r="A91" s="6" t="str">
        <f>HYPERLINK(SUBSTITUTE(T(hl_0),"{0}","900331903349528"),hn_0)</f>
        <v>ОВ</v>
      </c>
      <c r="B91" s="7" t="s">
        <v>64</v>
      </c>
      <c r="C91" s="8">
        <v>6000</v>
      </c>
      <c r="D91" s="7" t="s">
        <v>34</v>
      </c>
      <c r="E91" s="7" t="s">
        <v>20</v>
      </c>
    </row>
    <row r="92" spans="1:5" ht="12.75">
      <c r="A92" s="6" t="str">
        <f>HYPERLINK(SUBSTITUTE(T(hl_0),"{0}","900331903349528"),hn_0)</f>
        <v>ОВ</v>
      </c>
      <c r="B92" s="7" t="s">
        <v>64</v>
      </c>
      <c r="C92" s="8">
        <v>6000</v>
      </c>
      <c r="D92" s="7" t="s">
        <v>34</v>
      </c>
      <c r="E92" s="7" t="s">
        <v>20</v>
      </c>
    </row>
    <row r="93" spans="1:5" ht="12.75">
      <c r="A93" s="6" t="str">
        <f>HYPERLINK(SUBSTITUTE(T(hl_0),"{0}","900331903349528"),hn_0)</f>
        <v>ОВ</v>
      </c>
      <c r="B93" s="7" t="s">
        <v>64</v>
      </c>
      <c r="C93" s="8">
        <v>6000</v>
      </c>
      <c r="D93" s="7" t="s">
        <v>34</v>
      </c>
      <c r="E93" s="7" t="s">
        <v>20</v>
      </c>
    </row>
    <row r="94" spans="1:5" ht="12.75">
      <c r="A94" s="6" t="str">
        <f>HYPERLINK(SUBSTITUTE(T(hl_0),"{0}","900331903349541"),hn_0)</f>
        <v>ОВ</v>
      </c>
      <c r="B94" s="7" t="s">
        <v>64</v>
      </c>
      <c r="C94" s="8">
        <v>6000</v>
      </c>
      <c r="D94" s="7" t="s">
        <v>34</v>
      </c>
      <c r="E94" s="7" t="s">
        <v>20</v>
      </c>
    </row>
    <row r="95" spans="1:5" ht="12.75">
      <c r="A95" s="6" t="str">
        <f>HYPERLINK(SUBSTITUTE(T(hl_0),"{0}","900331903349541"),hn_0)</f>
        <v>ОВ</v>
      </c>
      <c r="B95" s="7" t="s">
        <v>64</v>
      </c>
      <c r="C95" s="8">
        <v>6000</v>
      </c>
      <c r="D95" s="7" t="s">
        <v>34</v>
      </c>
      <c r="E95" s="7" t="s">
        <v>20</v>
      </c>
    </row>
    <row r="96" spans="1:5" ht="12.75">
      <c r="A96" s="6" t="str">
        <f>HYPERLINK(SUBSTITUTE(T(hl_0),"{0}","900331903349541"),hn_0)</f>
        <v>ОВ</v>
      </c>
      <c r="B96" s="7" t="s">
        <v>64</v>
      </c>
      <c r="C96" s="8">
        <v>6000</v>
      </c>
      <c r="D96" s="7" t="s">
        <v>34</v>
      </c>
      <c r="E96" s="7" t="s">
        <v>20</v>
      </c>
    </row>
    <row r="97" spans="1:5" ht="12.75">
      <c r="A97" s="6" t="str">
        <f>HYPERLINK(SUBSTITUTE(T(hl_0),"{0}","900331900473251"),hn_0)</f>
        <v>ОВ</v>
      </c>
      <c r="B97" s="7" t="s">
        <v>64</v>
      </c>
      <c r="C97" s="8">
        <v>6000</v>
      </c>
      <c r="D97" s="7" t="s">
        <v>11</v>
      </c>
      <c r="E97" s="7" t="s">
        <v>20</v>
      </c>
    </row>
    <row r="98" spans="1:5" ht="12.75">
      <c r="A98" s="6" t="str">
        <f>HYPERLINK(SUBSTITUTE(T(hl_0),"{0}","900331900473251"),hn_0)</f>
        <v>ОВ</v>
      </c>
      <c r="B98" s="7" t="s">
        <v>64</v>
      </c>
      <c r="C98" s="8">
        <v>6000</v>
      </c>
      <c r="D98" s="7" t="s">
        <v>11</v>
      </c>
      <c r="E98" s="7" t="s">
        <v>20</v>
      </c>
    </row>
    <row r="99" spans="1:5" ht="12.75">
      <c r="A99" s="6" t="str">
        <f>HYPERLINK(SUBSTITUTE(T(hl_0),"{0}","900331900473251"),hn_0)</f>
        <v>ОВ</v>
      </c>
      <c r="B99" s="7" t="s">
        <v>64</v>
      </c>
      <c r="C99" s="8">
        <v>6000</v>
      </c>
      <c r="D99" s="7" t="s">
        <v>11</v>
      </c>
      <c r="E99" s="7" t="s">
        <v>20</v>
      </c>
    </row>
    <row r="100" spans="1:5" ht="12.75">
      <c r="A100" s="6" t="str">
        <f>HYPERLINK(SUBSTITUTE(T(hl_0),"{0}","900331900473257"),hn_0)</f>
        <v>ОВ</v>
      </c>
      <c r="B100" s="7" t="s">
        <v>64</v>
      </c>
      <c r="C100" s="8">
        <v>6000</v>
      </c>
      <c r="D100" s="7" t="s">
        <v>11</v>
      </c>
      <c r="E100" s="7" t="s">
        <v>20</v>
      </c>
    </row>
    <row r="101" spans="1:5" ht="12.75">
      <c r="A101" s="6" t="str">
        <f>HYPERLINK(SUBSTITUTE(T(hl_0),"{0}","900331900473257"),hn_0)</f>
        <v>ОВ</v>
      </c>
      <c r="B101" s="7" t="s">
        <v>64</v>
      </c>
      <c r="C101" s="8">
        <v>6000</v>
      </c>
      <c r="D101" s="7" t="s">
        <v>11</v>
      </c>
      <c r="E101" s="7" t="s">
        <v>20</v>
      </c>
    </row>
    <row r="102" spans="1:5" ht="12.75">
      <c r="A102" s="6" t="str">
        <f>HYPERLINK(SUBSTITUTE(T(hl_0),"{0}","900331900473257"),hn_0)</f>
        <v>ОВ</v>
      </c>
      <c r="B102" s="7" t="s">
        <v>64</v>
      </c>
      <c r="C102" s="8">
        <v>6000</v>
      </c>
      <c r="D102" s="7" t="s">
        <v>11</v>
      </c>
      <c r="E102" s="7" t="s">
        <v>20</v>
      </c>
    </row>
    <row r="103" spans="1:5" ht="12.75">
      <c r="A103" s="6" t="str">
        <f>HYPERLINK(SUBSTITUTE(T(hl_0),"{0}","900331900473263"),hn_0)</f>
        <v>ОВ</v>
      </c>
      <c r="B103" s="7" t="s">
        <v>64</v>
      </c>
      <c r="C103" s="8">
        <v>6000</v>
      </c>
      <c r="D103" s="7" t="s">
        <v>11</v>
      </c>
      <c r="E103" s="7" t="s">
        <v>20</v>
      </c>
    </row>
    <row r="104" spans="1:5" ht="12.75">
      <c r="A104" s="6" t="str">
        <f>HYPERLINK(SUBSTITUTE(T(hl_0),"{0}","900331900473263"),hn_0)</f>
        <v>ОВ</v>
      </c>
      <c r="B104" s="7" t="s">
        <v>64</v>
      </c>
      <c r="C104" s="8">
        <v>6000</v>
      </c>
      <c r="D104" s="7" t="s">
        <v>11</v>
      </c>
      <c r="E104" s="7" t="s">
        <v>20</v>
      </c>
    </row>
    <row r="105" spans="1:5" ht="12.75">
      <c r="A105" s="6" t="str">
        <f>HYPERLINK(SUBSTITUTE(T(hl_0),"{0}","900331900473263"),hn_0)</f>
        <v>ОВ</v>
      </c>
      <c r="B105" s="7" t="s">
        <v>64</v>
      </c>
      <c r="C105" s="8">
        <v>6000</v>
      </c>
      <c r="D105" s="7" t="s">
        <v>11</v>
      </c>
      <c r="E105" s="7" t="s">
        <v>20</v>
      </c>
    </row>
    <row r="106" spans="1:5" ht="12.75">
      <c r="A106" s="6" t="str">
        <f>HYPERLINK(SUBSTITUTE(T(hl_0),"{0}","900331900467561"),hn_0)</f>
        <v>ОВ</v>
      </c>
      <c r="B106" s="7" t="s">
        <v>64</v>
      </c>
      <c r="C106" s="8">
        <v>6000</v>
      </c>
      <c r="D106" s="7" t="s">
        <v>11</v>
      </c>
      <c r="E106" s="7" t="s">
        <v>20</v>
      </c>
    </row>
    <row r="107" spans="1:5" ht="12.75">
      <c r="A107" s="6" t="str">
        <f>HYPERLINK(SUBSTITUTE(T(hl_0),"{0}","900331900467561"),hn_0)</f>
        <v>ОВ</v>
      </c>
      <c r="B107" s="7" t="s">
        <v>64</v>
      </c>
      <c r="C107" s="8">
        <v>6000</v>
      </c>
      <c r="D107" s="7" t="s">
        <v>11</v>
      </c>
      <c r="E107" s="7" t="s">
        <v>20</v>
      </c>
    </row>
    <row r="108" spans="1:5" ht="12.75">
      <c r="A108" s="6" t="str">
        <f>HYPERLINK(SUBSTITUTE(T(hl_0),"{0}","900331900467561"),hn_0)</f>
        <v>ОВ</v>
      </c>
      <c r="B108" s="7" t="s">
        <v>64</v>
      </c>
      <c r="C108" s="8">
        <v>6000</v>
      </c>
      <c r="D108" s="7" t="s">
        <v>11</v>
      </c>
      <c r="E108" s="7" t="s">
        <v>20</v>
      </c>
    </row>
    <row r="109" spans="1:5" ht="12.75">
      <c r="A109" s="6" t="str">
        <f>HYPERLINK(SUBSTITUTE(T(hl_0),"{0}","900331903646308"),hn_0)</f>
        <v>ОВ</v>
      </c>
      <c r="B109" s="7" t="s">
        <v>64</v>
      </c>
      <c r="C109" s="8">
        <v>6000</v>
      </c>
      <c r="D109" s="7" t="s">
        <v>14</v>
      </c>
      <c r="E109" s="7" t="s">
        <v>20</v>
      </c>
    </row>
    <row r="110" spans="1:5" ht="12.75">
      <c r="A110" s="6" t="str">
        <f>HYPERLINK(SUBSTITUTE(T(hl_0),"{0}","900331903646308"),hn_0)</f>
        <v>ОВ</v>
      </c>
      <c r="B110" s="7" t="s">
        <v>64</v>
      </c>
      <c r="C110" s="8">
        <v>6000</v>
      </c>
      <c r="D110" s="7" t="s">
        <v>14</v>
      </c>
      <c r="E110" s="7" t="s">
        <v>20</v>
      </c>
    </row>
    <row r="111" spans="1:5" ht="12.75">
      <c r="A111" s="6" t="str">
        <f>HYPERLINK(SUBSTITUTE(T(hl_0),"{0}","900331903646308"),hn_0)</f>
        <v>ОВ</v>
      </c>
      <c r="B111" s="7" t="s">
        <v>64</v>
      </c>
      <c r="C111" s="8">
        <v>6000</v>
      </c>
      <c r="D111" s="7" t="s">
        <v>14</v>
      </c>
      <c r="E111" s="7" t="s">
        <v>20</v>
      </c>
    </row>
    <row r="112" spans="1:5" ht="12.75">
      <c r="A112" s="6" t="str">
        <f>HYPERLINK(SUBSTITUTE(T(hl_0),"{0}","900331903646314"),hn_0)</f>
        <v>ОВ</v>
      </c>
      <c r="B112" s="7" t="s">
        <v>64</v>
      </c>
      <c r="C112" s="8">
        <v>6000</v>
      </c>
      <c r="D112" s="7" t="s">
        <v>14</v>
      </c>
      <c r="E112" s="7" t="s">
        <v>20</v>
      </c>
    </row>
    <row r="113" spans="1:5" ht="12.75">
      <c r="A113" s="6" t="str">
        <f>HYPERLINK(SUBSTITUTE(T(hl_0),"{0}","900331903646314"),hn_0)</f>
        <v>ОВ</v>
      </c>
      <c r="B113" s="7" t="s">
        <v>64</v>
      </c>
      <c r="C113" s="8">
        <v>6000</v>
      </c>
      <c r="D113" s="7" t="s">
        <v>14</v>
      </c>
      <c r="E113" s="7" t="s">
        <v>20</v>
      </c>
    </row>
    <row r="114" spans="1:5" ht="12.75">
      <c r="A114" s="6" t="str">
        <f>HYPERLINK(SUBSTITUTE(T(hl_0),"{0}","900331903646314"),hn_0)</f>
        <v>ОВ</v>
      </c>
      <c r="B114" s="7" t="s">
        <v>64</v>
      </c>
      <c r="C114" s="8">
        <v>6000</v>
      </c>
      <c r="D114" s="7" t="s">
        <v>14</v>
      </c>
      <c r="E114" s="7" t="s">
        <v>20</v>
      </c>
    </row>
    <row r="115" spans="1:5" ht="12.75">
      <c r="A115" s="6" t="str">
        <f>HYPERLINK(SUBSTITUTE(T(hl_0),"{0}","900331903376087"),hn_0)</f>
        <v>ОВ</v>
      </c>
      <c r="B115" s="7" t="s">
        <v>64</v>
      </c>
      <c r="C115" s="8">
        <v>6000</v>
      </c>
      <c r="D115" s="7" t="s">
        <v>36</v>
      </c>
      <c r="E115" s="7" t="s">
        <v>20</v>
      </c>
    </row>
    <row r="116" spans="1:5" ht="12.75">
      <c r="A116" s="6" t="str">
        <f>HYPERLINK(SUBSTITUTE(T(hl_0),"{0}","900331903376087"),hn_0)</f>
        <v>ОВ</v>
      </c>
      <c r="B116" s="7" t="s">
        <v>64</v>
      </c>
      <c r="C116" s="8">
        <v>6000</v>
      </c>
      <c r="D116" s="7" t="s">
        <v>36</v>
      </c>
      <c r="E116" s="7" t="s">
        <v>20</v>
      </c>
    </row>
    <row r="117" spans="1:5" ht="12.75">
      <c r="A117" s="6" t="str">
        <f>HYPERLINK(SUBSTITUTE(T(hl_0),"{0}","900331903376087"),hn_0)</f>
        <v>ОВ</v>
      </c>
      <c r="B117" s="7" t="s">
        <v>64</v>
      </c>
      <c r="C117" s="8">
        <v>6000</v>
      </c>
      <c r="D117" s="7" t="s">
        <v>36</v>
      </c>
      <c r="E117" s="7" t="s">
        <v>20</v>
      </c>
    </row>
    <row r="118" spans="1:5" ht="12.75">
      <c r="A118" s="6" t="str">
        <f>HYPERLINK(SUBSTITUTE(T(hl_0),"{0}","900331903591982"),hn_0)</f>
        <v>ОВ</v>
      </c>
      <c r="B118" s="7" t="s">
        <v>64</v>
      </c>
      <c r="C118" s="8">
        <v>6000</v>
      </c>
      <c r="D118" s="7" t="s">
        <v>16</v>
      </c>
      <c r="E118" s="7" t="s">
        <v>20</v>
      </c>
    </row>
    <row r="119" spans="1:5" ht="12.75">
      <c r="A119" s="6" t="str">
        <f>HYPERLINK(SUBSTITUTE(T(hl_0),"{0}","900331903591982"),hn_0)</f>
        <v>ОВ</v>
      </c>
      <c r="B119" s="7" t="s">
        <v>64</v>
      </c>
      <c r="C119" s="8">
        <v>6000</v>
      </c>
      <c r="D119" s="7" t="s">
        <v>16</v>
      </c>
      <c r="E119" s="7" t="s">
        <v>20</v>
      </c>
    </row>
    <row r="120" spans="1:5" ht="12.75">
      <c r="A120" s="6" t="str">
        <f>HYPERLINK(SUBSTITUTE(T(hl_0),"{0}","900331903591982"),hn_0)</f>
        <v>ОВ</v>
      </c>
      <c r="B120" s="7" t="s">
        <v>64</v>
      </c>
      <c r="C120" s="8">
        <v>6000</v>
      </c>
      <c r="D120" s="7" t="s">
        <v>16</v>
      </c>
      <c r="E120" s="7" t="s">
        <v>20</v>
      </c>
    </row>
    <row r="121" spans="1:5" ht="12.75">
      <c r="A121" s="6" t="str">
        <f>HYPERLINK(SUBSTITUTE(T(hl_0),"{0}","900331903592348"),hn_0)</f>
        <v>ОВ</v>
      </c>
      <c r="B121" s="7" t="s">
        <v>64</v>
      </c>
      <c r="C121" s="8">
        <v>6000</v>
      </c>
      <c r="D121" s="7" t="s">
        <v>16</v>
      </c>
      <c r="E121" s="7" t="s">
        <v>20</v>
      </c>
    </row>
    <row r="122" spans="1:5" ht="12.75">
      <c r="A122" s="6" t="str">
        <f>HYPERLINK(SUBSTITUTE(T(hl_0),"{0}","900331903592348"),hn_0)</f>
        <v>ОВ</v>
      </c>
      <c r="B122" s="7" t="s">
        <v>64</v>
      </c>
      <c r="C122" s="8">
        <v>6000</v>
      </c>
      <c r="D122" s="7" t="s">
        <v>16</v>
      </c>
      <c r="E122" s="7" t="s">
        <v>20</v>
      </c>
    </row>
    <row r="123" spans="1:5" ht="12.75">
      <c r="A123" s="6" t="str">
        <f>HYPERLINK(SUBSTITUTE(T(hl_0),"{0}","900331903592348"),hn_0)</f>
        <v>ОВ</v>
      </c>
      <c r="B123" s="7" t="s">
        <v>64</v>
      </c>
      <c r="C123" s="8">
        <v>6000</v>
      </c>
      <c r="D123" s="7" t="s">
        <v>16</v>
      </c>
      <c r="E123" s="7" t="s">
        <v>20</v>
      </c>
    </row>
    <row r="124" spans="1:5" ht="12.75">
      <c r="A124" s="6" t="str">
        <f>HYPERLINK(SUBSTITUTE(T(hl_0),"{0}","900331903592905"),hn_0)</f>
        <v>ОВ</v>
      </c>
      <c r="B124" s="7" t="s">
        <v>64</v>
      </c>
      <c r="C124" s="8">
        <v>6000</v>
      </c>
      <c r="D124" s="7" t="s">
        <v>16</v>
      </c>
      <c r="E124" s="7" t="s">
        <v>20</v>
      </c>
    </row>
    <row r="125" spans="1:5" ht="12.75">
      <c r="A125" s="6" t="str">
        <f>HYPERLINK(SUBSTITUTE(T(hl_0),"{0}","900331903592905"),hn_0)</f>
        <v>ОВ</v>
      </c>
      <c r="B125" s="7" t="s">
        <v>64</v>
      </c>
      <c r="C125" s="8">
        <v>6000</v>
      </c>
      <c r="D125" s="7" t="s">
        <v>16</v>
      </c>
      <c r="E125" s="7" t="s">
        <v>20</v>
      </c>
    </row>
    <row r="126" spans="1:5" ht="12.75">
      <c r="A126" s="6" t="str">
        <f>HYPERLINK(SUBSTITUTE(T(hl_0),"{0}","900331903592905"),hn_0)</f>
        <v>ОВ</v>
      </c>
      <c r="B126" s="7" t="s">
        <v>64</v>
      </c>
      <c r="C126" s="8">
        <v>6000</v>
      </c>
      <c r="D126" s="7" t="s">
        <v>16</v>
      </c>
      <c r="E126" s="7" t="s">
        <v>20</v>
      </c>
    </row>
    <row r="127" spans="1:5" ht="12.75">
      <c r="A127" s="6" t="str">
        <f>HYPERLINK(SUBSTITUTE(T(hl_0),"{0}","900331903304089"),hn_0)</f>
        <v>ОВ</v>
      </c>
      <c r="B127" s="7" t="s">
        <v>64</v>
      </c>
      <c r="C127" s="8">
        <v>6000</v>
      </c>
      <c r="D127" s="7" t="s">
        <v>37</v>
      </c>
      <c r="E127" s="7" t="s">
        <v>20</v>
      </c>
    </row>
    <row r="128" spans="1:5" ht="12.75">
      <c r="A128" s="6" t="str">
        <f>HYPERLINK(SUBSTITUTE(T(hl_0),"{0}","900331903304089"),hn_0)</f>
        <v>ОВ</v>
      </c>
      <c r="B128" s="7" t="s">
        <v>64</v>
      </c>
      <c r="C128" s="8">
        <v>6000</v>
      </c>
      <c r="D128" s="7" t="s">
        <v>37</v>
      </c>
      <c r="E128" s="7" t="s">
        <v>20</v>
      </c>
    </row>
    <row r="129" spans="1:5" ht="12.75">
      <c r="A129" s="6" t="str">
        <f>HYPERLINK(SUBSTITUTE(T(hl_0),"{0}","900331903304089"),hn_0)</f>
        <v>ОВ</v>
      </c>
      <c r="B129" s="7" t="s">
        <v>64</v>
      </c>
      <c r="C129" s="8">
        <v>6000</v>
      </c>
      <c r="D129" s="7" t="s">
        <v>37</v>
      </c>
      <c r="E129" s="7" t="s">
        <v>20</v>
      </c>
    </row>
    <row r="130" spans="1:5" ht="12.75">
      <c r="A130" s="6" t="str">
        <f>HYPERLINK(SUBSTITUTE(T(hl_0),"{0}","900331903304095"),hn_0)</f>
        <v>ОВ</v>
      </c>
      <c r="B130" s="7" t="s">
        <v>64</v>
      </c>
      <c r="C130" s="8">
        <v>6000</v>
      </c>
      <c r="D130" s="7" t="s">
        <v>37</v>
      </c>
      <c r="E130" s="7" t="s">
        <v>20</v>
      </c>
    </row>
    <row r="131" spans="1:5" ht="12.75">
      <c r="A131" s="6" t="str">
        <f>HYPERLINK(SUBSTITUTE(T(hl_0),"{0}","900331903304095"),hn_0)</f>
        <v>ОВ</v>
      </c>
      <c r="B131" s="7" t="s">
        <v>64</v>
      </c>
      <c r="C131" s="8">
        <v>6000</v>
      </c>
      <c r="D131" s="7" t="s">
        <v>37</v>
      </c>
      <c r="E131" s="7" t="s">
        <v>20</v>
      </c>
    </row>
    <row r="132" spans="1:5" ht="12.75">
      <c r="A132" s="6" t="str">
        <f>HYPERLINK(SUBSTITUTE(T(hl_0),"{0}","900331903304095"),hn_0)</f>
        <v>ОВ</v>
      </c>
      <c r="B132" s="7" t="s">
        <v>64</v>
      </c>
      <c r="C132" s="8">
        <v>6000</v>
      </c>
      <c r="D132" s="7" t="s">
        <v>37</v>
      </c>
      <c r="E132" s="7" t="s">
        <v>20</v>
      </c>
    </row>
    <row r="133" spans="1:5" ht="12.75">
      <c r="A133" s="6" t="str">
        <f>HYPERLINK(SUBSTITUTE(T(hl_0),"{0}","330332558074773"),hn_0)</f>
        <v>ОВ</v>
      </c>
      <c r="B133" s="7" t="s">
        <v>65</v>
      </c>
      <c r="C133" s="8">
        <v>8000</v>
      </c>
      <c r="D133" s="7" t="s">
        <v>44</v>
      </c>
      <c r="E133" s="7" t="s">
        <v>29</v>
      </c>
    </row>
    <row r="134" spans="1:5" ht="12.75">
      <c r="A134" s="6" t="str">
        <f>HYPERLINK(SUBSTITUTE(T(hl_0),"{0}","900332344839152"),hn_0)</f>
        <v>ОВ</v>
      </c>
      <c r="B134" s="7" t="s">
        <v>66</v>
      </c>
      <c r="C134" s="8">
        <v>6500</v>
      </c>
      <c r="D134" s="7" t="s">
        <v>11</v>
      </c>
      <c r="E134" s="7" t="s">
        <v>20</v>
      </c>
    </row>
    <row r="135" spans="1:5" ht="25.5">
      <c r="A135" s="6" t="str">
        <f>HYPERLINK(SUBSTITUTE(T(hl_0),"{0}","320332825493979"),hn_0)</f>
        <v>ОВ</v>
      </c>
      <c r="B135" s="7" t="s">
        <v>67</v>
      </c>
      <c r="C135" s="8">
        <v>5000</v>
      </c>
      <c r="D135" s="7" t="s">
        <v>68</v>
      </c>
      <c r="E135" s="7" t="s">
        <v>17</v>
      </c>
    </row>
    <row r="136" spans="1:5" ht="25.5">
      <c r="A136" s="6" t="str">
        <f>HYPERLINK(SUBSTITUTE(T(hl_0),"{0}","320332825491180"),hn_0)</f>
        <v>ОВ</v>
      </c>
      <c r="B136" s="7" t="s">
        <v>67</v>
      </c>
      <c r="C136" s="8">
        <v>5000</v>
      </c>
      <c r="D136" s="7" t="s">
        <v>68</v>
      </c>
      <c r="E136" s="7" t="s">
        <v>17</v>
      </c>
    </row>
    <row r="137" spans="1:5" ht="25.5">
      <c r="A137" s="6" t="str">
        <f>HYPERLINK(SUBSTITUTE(T(hl_0),"{0}","320329941813327"),hn_0)</f>
        <v>ОВ</v>
      </c>
      <c r="B137" s="7" t="s">
        <v>67</v>
      </c>
      <c r="C137" s="8">
        <v>5000</v>
      </c>
      <c r="D137" s="7" t="s">
        <v>69</v>
      </c>
      <c r="E137" s="7" t="s">
        <v>17</v>
      </c>
    </row>
    <row r="138" spans="1:5" ht="25.5">
      <c r="A138" s="6" t="str">
        <f>HYPERLINK(SUBSTITUTE(T(hl_0),"{0}","320329941979515"),hn_0)</f>
        <v>ОВ</v>
      </c>
      <c r="B138" s="7" t="s">
        <v>67</v>
      </c>
      <c r="C138" s="8">
        <v>5000</v>
      </c>
      <c r="D138" s="7" t="s">
        <v>70</v>
      </c>
      <c r="E138" s="7" t="s">
        <v>17</v>
      </c>
    </row>
    <row r="139" spans="1:5" ht="12.75">
      <c r="A139" s="6" t="str">
        <f>HYPERLINK(SUBSTITUTE(T(hl_0),"{0}","900329232823627"),hn_0)</f>
        <v>ОВ</v>
      </c>
      <c r="B139" s="7" t="s">
        <v>67</v>
      </c>
      <c r="C139" s="8">
        <v>5000</v>
      </c>
      <c r="D139" s="7" t="s">
        <v>57</v>
      </c>
      <c r="E139" s="7" t="s">
        <v>20</v>
      </c>
    </row>
    <row r="140" spans="1:5" ht="12.75">
      <c r="A140" s="6" t="str">
        <f>HYPERLINK(SUBSTITUTE(T(hl_0),"{0}","900329232823627"),hn_0)</f>
        <v>ОВ</v>
      </c>
      <c r="B140" s="7" t="s">
        <v>67</v>
      </c>
      <c r="C140" s="8">
        <v>5000</v>
      </c>
      <c r="D140" s="7" t="s">
        <v>57</v>
      </c>
      <c r="E140" s="7" t="s">
        <v>20</v>
      </c>
    </row>
    <row r="141" spans="1:5" ht="12.75">
      <c r="A141" s="6" t="str">
        <f>HYPERLINK(SUBSTITUTE(T(hl_0),"{0}","900329308071488"),hn_0)</f>
        <v>ОВ</v>
      </c>
      <c r="B141" s="7" t="s">
        <v>67</v>
      </c>
      <c r="C141" s="8">
        <v>5000</v>
      </c>
      <c r="D141" s="7" t="s">
        <v>71</v>
      </c>
      <c r="E141" s="7" t="s">
        <v>20</v>
      </c>
    </row>
    <row r="142" spans="1:5" ht="12.75">
      <c r="A142" s="6" t="str">
        <f>HYPERLINK(SUBSTITUTE(T(hl_0),"{0}","900329308071488"),hn_0)</f>
        <v>ОВ</v>
      </c>
      <c r="B142" s="7" t="s">
        <v>67</v>
      </c>
      <c r="C142" s="8">
        <v>5000</v>
      </c>
      <c r="D142" s="7" t="s">
        <v>71</v>
      </c>
      <c r="E142" s="7" t="s">
        <v>20</v>
      </c>
    </row>
    <row r="143" spans="1:5" ht="12.75">
      <c r="A143" s="6" t="str">
        <f>HYPERLINK(SUBSTITUTE(T(hl_0),"{0}","900329311286758"),hn_0)</f>
        <v>ОВ</v>
      </c>
      <c r="B143" s="7" t="s">
        <v>67</v>
      </c>
      <c r="C143" s="8">
        <v>5000</v>
      </c>
      <c r="D143" s="7" t="s">
        <v>72</v>
      </c>
      <c r="E143" s="7" t="s">
        <v>20</v>
      </c>
    </row>
    <row r="144" spans="1:5" ht="12.75">
      <c r="A144" s="6" t="str">
        <f>HYPERLINK(SUBSTITUTE(T(hl_0),"{0}","900329311286758"),hn_0)</f>
        <v>ОВ</v>
      </c>
      <c r="B144" s="7" t="s">
        <v>67</v>
      </c>
      <c r="C144" s="8">
        <v>5000</v>
      </c>
      <c r="D144" s="7" t="s">
        <v>72</v>
      </c>
      <c r="E144" s="7" t="s">
        <v>20</v>
      </c>
    </row>
    <row r="145" spans="1:5" ht="12.75">
      <c r="A145" s="6" t="str">
        <f>HYPERLINK(SUBSTITUTE(T(hl_0),"{0}","900329311322179"),hn_0)</f>
        <v>ОВ</v>
      </c>
      <c r="B145" s="7" t="s">
        <v>67</v>
      </c>
      <c r="C145" s="8">
        <v>5000</v>
      </c>
      <c r="D145" s="7" t="s">
        <v>73</v>
      </c>
      <c r="E145" s="7" t="s">
        <v>20</v>
      </c>
    </row>
    <row r="146" spans="1:5" ht="12.75">
      <c r="A146" s="6" t="str">
        <f>HYPERLINK(SUBSTITUTE(T(hl_0),"{0}","900329311322179"),hn_0)</f>
        <v>ОВ</v>
      </c>
      <c r="B146" s="7" t="s">
        <v>67</v>
      </c>
      <c r="C146" s="8">
        <v>5000</v>
      </c>
      <c r="D146" s="7" t="s">
        <v>73</v>
      </c>
      <c r="E146" s="7" t="s">
        <v>20</v>
      </c>
    </row>
    <row r="147" spans="1:5" ht="12.75">
      <c r="A147" s="6" t="str">
        <f>HYPERLINK(SUBSTITUTE(T(hl_0),"{0}","900329285999196"),hn_0)</f>
        <v>ОВ</v>
      </c>
      <c r="B147" s="7" t="s">
        <v>67</v>
      </c>
      <c r="C147" s="8">
        <v>5000</v>
      </c>
      <c r="D147" s="7" t="s">
        <v>74</v>
      </c>
      <c r="E147" s="7" t="s">
        <v>20</v>
      </c>
    </row>
    <row r="148" spans="1:5" ht="12.75">
      <c r="A148" s="6" t="str">
        <f>HYPERLINK(SUBSTITUTE(T(hl_0),"{0}","900329285999196"),hn_0)</f>
        <v>ОВ</v>
      </c>
      <c r="B148" s="7" t="s">
        <v>67</v>
      </c>
      <c r="C148" s="8">
        <v>5000</v>
      </c>
      <c r="D148" s="7" t="s">
        <v>74</v>
      </c>
      <c r="E148" s="7" t="s">
        <v>20</v>
      </c>
    </row>
    <row r="149" spans="1:5" ht="12.75">
      <c r="A149" s="6" t="str">
        <f>HYPERLINK(SUBSTITUTE(T(hl_0),"{0}","900329307702298"),hn_0)</f>
        <v>ОВ</v>
      </c>
      <c r="B149" s="7" t="s">
        <v>67</v>
      </c>
      <c r="C149" s="8">
        <v>5000</v>
      </c>
      <c r="D149" s="7" t="s">
        <v>75</v>
      </c>
      <c r="E149" s="7" t="s">
        <v>20</v>
      </c>
    </row>
    <row r="150" spans="1:5" ht="12.75">
      <c r="A150" s="6" t="str">
        <f>HYPERLINK(SUBSTITUTE(T(hl_0),"{0}","900329307702298"),hn_0)</f>
        <v>ОВ</v>
      </c>
      <c r="B150" s="7" t="s">
        <v>67</v>
      </c>
      <c r="C150" s="8">
        <v>5000</v>
      </c>
      <c r="D150" s="7" t="s">
        <v>75</v>
      </c>
      <c r="E150" s="7" t="s">
        <v>20</v>
      </c>
    </row>
    <row r="151" spans="1:5" ht="12.75">
      <c r="A151" s="6" t="str">
        <f>HYPERLINK(SUBSTITUTE(T(hl_0),"{0}","900329310815061"),hn_0)</f>
        <v>ОВ</v>
      </c>
      <c r="B151" s="7" t="s">
        <v>67</v>
      </c>
      <c r="C151" s="8">
        <v>5000</v>
      </c>
      <c r="D151" s="7" t="s">
        <v>76</v>
      </c>
      <c r="E151" s="7" t="s">
        <v>20</v>
      </c>
    </row>
    <row r="152" spans="1:5" ht="12.75">
      <c r="A152" s="6" t="str">
        <f>HYPERLINK(SUBSTITUTE(T(hl_0),"{0}","900329310815061"),hn_0)</f>
        <v>ОВ</v>
      </c>
      <c r="B152" s="7" t="s">
        <v>67</v>
      </c>
      <c r="C152" s="8">
        <v>5000</v>
      </c>
      <c r="D152" s="7" t="s">
        <v>76</v>
      </c>
      <c r="E152" s="7" t="s">
        <v>20</v>
      </c>
    </row>
    <row r="153" spans="1:5" ht="12.75">
      <c r="A153" s="6" t="str">
        <f>HYPERLINK(SUBSTITUTE(T(hl_0),"{0}","900329311196469"),hn_0)</f>
        <v>ОВ</v>
      </c>
      <c r="B153" s="7" t="s">
        <v>67</v>
      </c>
      <c r="C153" s="8">
        <v>5000</v>
      </c>
      <c r="D153" s="7" t="s">
        <v>77</v>
      </c>
      <c r="E153" s="7" t="s">
        <v>20</v>
      </c>
    </row>
    <row r="154" spans="1:5" ht="12.75">
      <c r="A154" s="6" t="str">
        <f>HYPERLINK(SUBSTITUTE(T(hl_0),"{0}","900329311196469"),hn_0)</f>
        <v>ОВ</v>
      </c>
      <c r="B154" s="7" t="s">
        <v>67</v>
      </c>
      <c r="C154" s="8">
        <v>5000</v>
      </c>
      <c r="D154" s="7" t="s">
        <v>77</v>
      </c>
      <c r="E154" s="7" t="s">
        <v>20</v>
      </c>
    </row>
    <row r="155" spans="1:5" ht="12.75">
      <c r="A155" s="6" t="str">
        <f>HYPERLINK(SUBSTITUTE(T(hl_0),"{0}","900329311941707"),hn_0)</f>
        <v>ОВ</v>
      </c>
      <c r="B155" s="7" t="s">
        <v>67</v>
      </c>
      <c r="C155" s="8">
        <v>5000</v>
      </c>
      <c r="D155" s="7" t="s">
        <v>78</v>
      </c>
      <c r="E155" s="7" t="s">
        <v>20</v>
      </c>
    </row>
    <row r="156" spans="1:5" ht="12.75">
      <c r="A156" s="6" t="str">
        <f>HYPERLINK(SUBSTITUTE(T(hl_0),"{0}","900329311941707"),hn_0)</f>
        <v>ОВ</v>
      </c>
      <c r="B156" s="7" t="s">
        <v>67</v>
      </c>
      <c r="C156" s="8">
        <v>5000</v>
      </c>
      <c r="D156" s="7" t="s">
        <v>78</v>
      </c>
      <c r="E156" s="7" t="s">
        <v>20</v>
      </c>
    </row>
    <row r="157" spans="1:5" ht="12.75">
      <c r="A157" s="6" t="str">
        <f>HYPERLINK(SUBSTITUTE(T(hl_0),"{0}","900329309082759"),hn_0)</f>
        <v>ОВ</v>
      </c>
      <c r="B157" s="7" t="s">
        <v>67</v>
      </c>
      <c r="C157" s="8">
        <v>5000</v>
      </c>
      <c r="D157" s="7" t="s">
        <v>76</v>
      </c>
      <c r="E157" s="7" t="s">
        <v>20</v>
      </c>
    </row>
    <row r="158" spans="1:5" ht="12.75">
      <c r="A158" s="6" t="str">
        <f>HYPERLINK(SUBSTITUTE(T(hl_0),"{0}","900329309082759"),hn_0)</f>
        <v>ОВ</v>
      </c>
      <c r="B158" s="7" t="s">
        <v>67</v>
      </c>
      <c r="C158" s="8">
        <v>5000</v>
      </c>
      <c r="D158" s="7" t="s">
        <v>76</v>
      </c>
      <c r="E158" s="7" t="s">
        <v>20</v>
      </c>
    </row>
    <row r="159" spans="1:5" ht="12.75">
      <c r="A159" s="6" t="str">
        <f>HYPERLINK(SUBSTITUTE(T(hl_0),"{0}","900329307948271"),hn_0)</f>
        <v>ОВ</v>
      </c>
      <c r="B159" s="7" t="s">
        <v>67</v>
      </c>
      <c r="C159" s="8">
        <v>5000</v>
      </c>
      <c r="D159" s="7" t="s">
        <v>79</v>
      </c>
      <c r="E159" s="7" t="s">
        <v>20</v>
      </c>
    </row>
    <row r="160" spans="1:5" ht="12.75">
      <c r="A160" s="6" t="str">
        <f>HYPERLINK(SUBSTITUTE(T(hl_0),"{0}","900329307948271"),hn_0)</f>
        <v>ОВ</v>
      </c>
      <c r="B160" s="7" t="s">
        <v>67</v>
      </c>
      <c r="C160" s="8">
        <v>5000</v>
      </c>
      <c r="D160" s="7" t="s">
        <v>79</v>
      </c>
      <c r="E160" s="7" t="s">
        <v>20</v>
      </c>
    </row>
    <row r="161" spans="1:5" ht="12.75">
      <c r="A161" s="6" t="str">
        <f>HYPERLINK(SUBSTITUTE(T(hl_0),"{0}","900329310848206"),hn_0)</f>
        <v>ОВ</v>
      </c>
      <c r="B161" s="7" t="s">
        <v>67</v>
      </c>
      <c r="C161" s="8">
        <v>5000</v>
      </c>
      <c r="D161" s="7" t="s">
        <v>76</v>
      </c>
      <c r="E161" s="7" t="s">
        <v>20</v>
      </c>
    </row>
    <row r="162" spans="1:5" ht="12.75">
      <c r="A162" s="6" t="str">
        <f>HYPERLINK(SUBSTITUTE(T(hl_0),"{0}","900329310848206"),hn_0)</f>
        <v>ОВ</v>
      </c>
      <c r="B162" s="7" t="s">
        <v>67</v>
      </c>
      <c r="C162" s="8">
        <v>5000</v>
      </c>
      <c r="D162" s="7" t="s">
        <v>76</v>
      </c>
      <c r="E162" s="7" t="s">
        <v>20</v>
      </c>
    </row>
    <row r="163" spans="1:5" ht="12.75">
      <c r="A163" s="6" t="str">
        <f>HYPERLINK(SUBSTITUTE(T(hl_0),"{0}","900329308079511"),hn_0)</f>
        <v>ОВ</v>
      </c>
      <c r="B163" s="7" t="s">
        <v>67</v>
      </c>
      <c r="C163" s="8">
        <v>5000</v>
      </c>
      <c r="D163" s="7" t="s">
        <v>80</v>
      </c>
      <c r="E163" s="7" t="s">
        <v>20</v>
      </c>
    </row>
    <row r="164" spans="1:5" ht="12.75">
      <c r="A164" s="6" t="str">
        <f>HYPERLINK(SUBSTITUTE(T(hl_0),"{0}","900329308079511"),hn_0)</f>
        <v>ОВ</v>
      </c>
      <c r="B164" s="7" t="s">
        <v>67</v>
      </c>
      <c r="C164" s="8">
        <v>5000</v>
      </c>
      <c r="D164" s="7" t="s">
        <v>80</v>
      </c>
      <c r="E164" s="7" t="s">
        <v>20</v>
      </c>
    </row>
    <row r="165" spans="1:5" ht="12.75">
      <c r="A165" s="6" t="str">
        <f>HYPERLINK(SUBSTITUTE(T(hl_0),"{0}","900329307897145"),hn_0)</f>
        <v>ОВ</v>
      </c>
      <c r="B165" s="7" t="s">
        <v>67</v>
      </c>
      <c r="C165" s="8">
        <v>5000</v>
      </c>
      <c r="D165" s="7" t="s">
        <v>81</v>
      </c>
      <c r="E165" s="7" t="s">
        <v>20</v>
      </c>
    </row>
    <row r="166" spans="1:5" ht="12.75">
      <c r="A166" s="6" t="str">
        <f>HYPERLINK(SUBSTITUTE(T(hl_0),"{0}","900329307897145"),hn_0)</f>
        <v>ОВ</v>
      </c>
      <c r="B166" s="7" t="s">
        <v>67</v>
      </c>
      <c r="C166" s="8">
        <v>5000</v>
      </c>
      <c r="D166" s="7" t="s">
        <v>81</v>
      </c>
      <c r="E166" s="7" t="s">
        <v>20</v>
      </c>
    </row>
    <row r="167" spans="1:5" ht="12.75">
      <c r="A167" s="6" t="str">
        <f>HYPERLINK(SUBSTITUTE(T(hl_0),"{0}","900329311223579"),hn_0)</f>
        <v>ОВ</v>
      </c>
      <c r="B167" s="7" t="s">
        <v>67</v>
      </c>
      <c r="C167" s="8">
        <v>5000</v>
      </c>
      <c r="D167" s="7" t="s">
        <v>82</v>
      </c>
      <c r="E167" s="7" t="s">
        <v>20</v>
      </c>
    </row>
    <row r="168" spans="1:5" ht="12.75">
      <c r="A168" s="6" t="str">
        <f>HYPERLINK(SUBSTITUTE(T(hl_0),"{0}","900329311223579"),hn_0)</f>
        <v>ОВ</v>
      </c>
      <c r="B168" s="7" t="s">
        <v>67</v>
      </c>
      <c r="C168" s="8">
        <v>5000</v>
      </c>
      <c r="D168" s="7" t="s">
        <v>82</v>
      </c>
      <c r="E168" s="7" t="s">
        <v>20</v>
      </c>
    </row>
    <row r="169" spans="1:5" ht="12.75">
      <c r="A169" s="6" t="str">
        <f>HYPERLINK(SUBSTITUTE(T(hl_0),"{0}","900329423049057"),hn_0)</f>
        <v>ОВ</v>
      </c>
      <c r="B169" s="7" t="s">
        <v>67</v>
      </c>
      <c r="C169" s="8">
        <v>5000</v>
      </c>
      <c r="D169" s="7" t="s">
        <v>83</v>
      </c>
      <c r="E169" s="7" t="s">
        <v>20</v>
      </c>
    </row>
    <row r="170" spans="1:5" ht="12.75">
      <c r="A170" s="6" t="str">
        <f>HYPERLINK(SUBSTITUTE(T(hl_0),"{0}","900329423049057"),hn_0)</f>
        <v>ОВ</v>
      </c>
      <c r="B170" s="7" t="s">
        <v>67</v>
      </c>
      <c r="C170" s="8">
        <v>5000</v>
      </c>
      <c r="D170" s="7" t="s">
        <v>83</v>
      </c>
      <c r="E170" s="7" t="s">
        <v>20</v>
      </c>
    </row>
    <row r="171" spans="1:5" ht="12.75">
      <c r="A171" s="6" t="str">
        <f>HYPERLINK(SUBSTITUTE(T(hl_0),"{0}","900329311254774"),hn_0)</f>
        <v>ОВ</v>
      </c>
      <c r="B171" s="7" t="s">
        <v>67</v>
      </c>
      <c r="C171" s="8">
        <v>5000</v>
      </c>
      <c r="D171" s="7" t="s">
        <v>72</v>
      </c>
      <c r="E171" s="7" t="s">
        <v>20</v>
      </c>
    </row>
    <row r="172" spans="1:5" ht="12.75">
      <c r="A172" s="6" t="str">
        <f>HYPERLINK(SUBSTITUTE(T(hl_0),"{0}","900329311254774"),hn_0)</f>
        <v>ОВ</v>
      </c>
      <c r="B172" s="7" t="s">
        <v>67</v>
      </c>
      <c r="C172" s="8">
        <v>5000</v>
      </c>
      <c r="D172" s="7" t="s">
        <v>72</v>
      </c>
      <c r="E172" s="7" t="s">
        <v>20</v>
      </c>
    </row>
    <row r="173" spans="1:5" ht="12.75">
      <c r="A173" s="6" t="str">
        <f>HYPERLINK(SUBSTITUTE(T(hl_0),"{0}","900329311184408"),hn_0)</f>
        <v>ОВ</v>
      </c>
      <c r="B173" s="7" t="s">
        <v>67</v>
      </c>
      <c r="C173" s="8">
        <v>5000</v>
      </c>
      <c r="D173" s="7" t="s">
        <v>77</v>
      </c>
      <c r="E173" s="7" t="s">
        <v>20</v>
      </c>
    </row>
    <row r="174" spans="1:5" ht="12.75">
      <c r="A174" s="6" t="str">
        <f>HYPERLINK(SUBSTITUTE(T(hl_0),"{0}","900329311184408"),hn_0)</f>
        <v>ОВ</v>
      </c>
      <c r="B174" s="7" t="s">
        <v>67</v>
      </c>
      <c r="C174" s="8">
        <v>5000</v>
      </c>
      <c r="D174" s="7" t="s">
        <v>77</v>
      </c>
      <c r="E174" s="7" t="s">
        <v>20</v>
      </c>
    </row>
    <row r="175" spans="1:5" ht="12.75">
      <c r="A175" s="6" t="str">
        <f>HYPERLINK(SUBSTITUTE(T(hl_0),"{0}","900329445260893"),hn_0)</f>
        <v>ОВ</v>
      </c>
      <c r="B175" s="7" t="s">
        <v>67</v>
      </c>
      <c r="C175" s="8">
        <v>5000</v>
      </c>
      <c r="D175" s="7" t="s">
        <v>84</v>
      </c>
      <c r="E175" s="7" t="s">
        <v>20</v>
      </c>
    </row>
    <row r="176" spans="1:5" ht="12.75">
      <c r="A176" s="6" t="str">
        <f>HYPERLINK(SUBSTITUTE(T(hl_0),"{0}","900329445260893"),hn_0)</f>
        <v>ОВ</v>
      </c>
      <c r="B176" s="7" t="s">
        <v>67</v>
      </c>
      <c r="C176" s="8">
        <v>5000</v>
      </c>
      <c r="D176" s="7" t="s">
        <v>84</v>
      </c>
      <c r="E176" s="7" t="s">
        <v>20</v>
      </c>
    </row>
    <row r="177" spans="1:5" ht="12.75">
      <c r="A177" s="6" t="str">
        <f>HYPERLINK(SUBSTITUTE(T(hl_0),"{0}","900329422770673"),hn_0)</f>
        <v>ОВ</v>
      </c>
      <c r="B177" s="7" t="s">
        <v>67</v>
      </c>
      <c r="C177" s="8">
        <v>5000</v>
      </c>
      <c r="D177" s="7" t="s">
        <v>85</v>
      </c>
      <c r="E177" s="7" t="s">
        <v>20</v>
      </c>
    </row>
    <row r="178" spans="1:5" ht="12.75">
      <c r="A178" s="6" t="str">
        <f>HYPERLINK(SUBSTITUTE(T(hl_0),"{0}","900329422770673"),hn_0)</f>
        <v>ОВ</v>
      </c>
      <c r="B178" s="7" t="s">
        <v>67</v>
      </c>
      <c r="C178" s="8">
        <v>5000</v>
      </c>
      <c r="D178" s="7" t="s">
        <v>85</v>
      </c>
      <c r="E178" s="7" t="s">
        <v>20</v>
      </c>
    </row>
    <row r="179" spans="1:5" ht="12.75">
      <c r="A179" s="6" t="str">
        <f>HYPERLINK(SUBSTITUTE(T(hl_0),"{0}","900329311299102"),hn_0)</f>
        <v>ОВ</v>
      </c>
      <c r="B179" s="7" t="s">
        <v>67</v>
      </c>
      <c r="C179" s="8">
        <v>5000</v>
      </c>
      <c r="D179" s="7" t="s">
        <v>86</v>
      </c>
      <c r="E179" s="7" t="s">
        <v>20</v>
      </c>
    </row>
    <row r="180" spans="1:5" ht="12.75">
      <c r="A180" s="6" t="str">
        <f>HYPERLINK(SUBSTITUTE(T(hl_0),"{0}","900329311299102"),hn_0)</f>
        <v>ОВ</v>
      </c>
      <c r="B180" s="7" t="s">
        <v>67</v>
      </c>
      <c r="C180" s="8">
        <v>5000</v>
      </c>
      <c r="D180" s="7" t="s">
        <v>86</v>
      </c>
      <c r="E180" s="7" t="s">
        <v>20</v>
      </c>
    </row>
    <row r="181" spans="1:5" ht="12.75">
      <c r="A181" s="6" t="str">
        <f>HYPERLINK(SUBSTITUTE(T(hl_0),"{0}","900329285913986"),hn_0)</f>
        <v>ОВ</v>
      </c>
      <c r="B181" s="7" t="s">
        <v>67</v>
      </c>
      <c r="C181" s="8">
        <v>5000</v>
      </c>
      <c r="D181" s="7" t="s">
        <v>87</v>
      </c>
      <c r="E181" s="7" t="s">
        <v>20</v>
      </c>
    </row>
    <row r="182" spans="1:5" ht="12.75">
      <c r="A182" s="6" t="str">
        <f>HYPERLINK(SUBSTITUTE(T(hl_0),"{0}","900329285913986"),hn_0)</f>
        <v>ОВ</v>
      </c>
      <c r="B182" s="7" t="s">
        <v>67</v>
      </c>
      <c r="C182" s="8">
        <v>5000</v>
      </c>
      <c r="D182" s="7" t="s">
        <v>87</v>
      </c>
      <c r="E182" s="7" t="s">
        <v>20</v>
      </c>
    </row>
    <row r="183" spans="1:5" ht="12.75">
      <c r="A183" s="6" t="str">
        <f>HYPERLINK(SUBSTITUTE(T(hl_0),"{0}","900329311756497"),hn_0)</f>
        <v>ОВ</v>
      </c>
      <c r="B183" s="7" t="s">
        <v>67</v>
      </c>
      <c r="C183" s="8">
        <v>5000</v>
      </c>
      <c r="D183" s="7" t="s">
        <v>88</v>
      </c>
      <c r="E183" s="7" t="s">
        <v>20</v>
      </c>
    </row>
    <row r="184" spans="1:5" ht="12.75">
      <c r="A184" s="6" t="str">
        <f>HYPERLINK(SUBSTITUTE(T(hl_0),"{0}","900329311756497"),hn_0)</f>
        <v>ОВ</v>
      </c>
      <c r="B184" s="7" t="s">
        <v>67</v>
      </c>
      <c r="C184" s="8">
        <v>5000</v>
      </c>
      <c r="D184" s="7" t="s">
        <v>88</v>
      </c>
      <c r="E184" s="7" t="s">
        <v>20</v>
      </c>
    </row>
    <row r="185" spans="1:5" ht="12.75">
      <c r="A185" s="6" t="str">
        <f>HYPERLINK(SUBSTITUTE(T(hl_0),"{0}","900329307878572"),hn_0)</f>
        <v>ОВ</v>
      </c>
      <c r="B185" s="7" t="s">
        <v>67</v>
      </c>
      <c r="C185" s="8">
        <v>5000</v>
      </c>
      <c r="D185" s="7" t="s">
        <v>81</v>
      </c>
      <c r="E185" s="7" t="s">
        <v>20</v>
      </c>
    </row>
    <row r="186" spans="1:5" ht="12.75">
      <c r="A186" s="6" t="str">
        <f>HYPERLINK(SUBSTITUTE(T(hl_0),"{0}","900329307878572"),hn_0)</f>
        <v>ОВ</v>
      </c>
      <c r="B186" s="7" t="s">
        <v>67</v>
      </c>
      <c r="C186" s="8">
        <v>5000</v>
      </c>
      <c r="D186" s="7" t="s">
        <v>81</v>
      </c>
      <c r="E186" s="7" t="s">
        <v>20</v>
      </c>
    </row>
    <row r="187" spans="1:5" ht="12.75">
      <c r="A187" s="6" t="str">
        <f>HYPERLINK(SUBSTITUTE(T(hl_0),"{0}","900329311219127"),hn_0)</f>
        <v>ОВ</v>
      </c>
      <c r="B187" s="7" t="s">
        <v>67</v>
      </c>
      <c r="C187" s="8">
        <v>5000</v>
      </c>
      <c r="D187" s="7" t="s">
        <v>77</v>
      </c>
      <c r="E187" s="7" t="s">
        <v>20</v>
      </c>
    </row>
    <row r="188" spans="1:5" ht="12.75">
      <c r="A188" s="6" t="str">
        <f>HYPERLINK(SUBSTITUTE(T(hl_0),"{0}","900329311219127"),hn_0)</f>
        <v>ОВ</v>
      </c>
      <c r="B188" s="7" t="s">
        <v>67</v>
      </c>
      <c r="C188" s="8">
        <v>5000</v>
      </c>
      <c r="D188" s="7" t="s">
        <v>77</v>
      </c>
      <c r="E188" s="7" t="s">
        <v>20</v>
      </c>
    </row>
    <row r="189" spans="1:5" ht="12.75">
      <c r="A189" s="6" t="str">
        <f>HYPERLINK(SUBSTITUTE(T(hl_0),"{0}","900329232868657"),hn_0)</f>
        <v>ОВ</v>
      </c>
      <c r="B189" s="7" t="s">
        <v>67</v>
      </c>
      <c r="C189" s="8">
        <v>5000</v>
      </c>
      <c r="D189" s="7" t="s">
        <v>36</v>
      </c>
      <c r="E189" s="7" t="s">
        <v>20</v>
      </c>
    </row>
    <row r="190" spans="1:5" ht="12.75">
      <c r="A190" s="6" t="str">
        <f>HYPERLINK(SUBSTITUTE(T(hl_0),"{0}","900329232868657"),hn_0)</f>
        <v>ОВ</v>
      </c>
      <c r="B190" s="7" t="s">
        <v>67</v>
      </c>
      <c r="C190" s="8">
        <v>5000</v>
      </c>
      <c r="D190" s="7" t="s">
        <v>36</v>
      </c>
      <c r="E190" s="7" t="s">
        <v>20</v>
      </c>
    </row>
    <row r="191" spans="1:5" ht="12.75">
      <c r="A191" s="6" t="str">
        <f>HYPERLINK(SUBSTITUTE(T(hl_0),"{0}","900329285932186"),hn_0)</f>
        <v>ОВ</v>
      </c>
      <c r="B191" s="7" t="s">
        <v>67</v>
      </c>
      <c r="C191" s="8">
        <v>5000</v>
      </c>
      <c r="D191" s="7" t="s">
        <v>89</v>
      </c>
      <c r="E191" s="7" t="s">
        <v>20</v>
      </c>
    </row>
    <row r="192" spans="1:5" ht="12.75">
      <c r="A192" s="6" t="str">
        <f>HYPERLINK(SUBSTITUTE(T(hl_0),"{0}","900329285932186"),hn_0)</f>
        <v>ОВ</v>
      </c>
      <c r="B192" s="7" t="s">
        <v>67</v>
      </c>
      <c r="C192" s="8">
        <v>5000</v>
      </c>
      <c r="D192" s="7" t="s">
        <v>89</v>
      </c>
      <c r="E192" s="7" t="s">
        <v>20</v>
      </c>
    </row>
    <row r="193" spans="1:5" ht="12.75">
      <c r="A193" s="6" t="str">
        <f>HYPERLINK(SUBSTITUTE(T(hl_0),"{0}","900329307901941"),hn_0)</f>
        <v>ОВ</v>
      </c>
      <c r="B193" s="7" t="s">
        <v>67</v>
      </c>
      <c r="C193" s="8">
        <v>5000</v>
      </c>
      <c r="D193" s="7" t="s">
        <v>81</v>
      </c>
      <c r="E193" s="7" t="s">
        <v>20</v>
      </c>
    </row>
    <row r="194" spans="1:5" ht="12.75">
      <c r="A194" s="6" t="str">
        <f>HYPERLINK(SUBSTITUTE(T(hl_0),"{0}","900329307901941"),hn_0)</f>
        <v>ОВ</v>
      </c>
      <c r="B194" s="7" t="s">
        <v>67</v>
      </c>
      <c r="C194" s="8">
        <v>5000</v>
      </c>
      <c r="D194" s="7" t="s">
        <v>81</v>
      </c>
      <c r="E194" s="7" t="s">
        <v>20</v>
      </c>
    </row>
    <row r="195" spans="1:5" ht="12.75">
      <c r="A195" s="6" t="str">
        <f>HYPERLINK(SUBSTITUTE(T(hl_0),"{0}","900329311156590"),hn_0)</f>
        <v>ОВ</v>
      </c>
      <c r="B195" s="7" t="s">
        <v>67</v>
      </c>
      <c r="C195" s="8">
        <v>5000</v>
      </c>
      <c r="D195" s="7" t="s">
        <v>77</v>
      </c>
      <c r="E195" s="7" t="s">
        <v>20</v>
      </c>
    </row>
    <row r="196" spans="1:5" ht="12.75">
      <c r="A196" s="6" t="str">
        <f>HYPERLINK(SUBSTITUTE(T(hl_0),"{0}","900329311156590"),hn_0)</f>
        <v>ОВ</v>
      </c>
      <c r="B196" s="7" t="s">
        <v>67</v>
      </c>
      <c r="C196" s="8">
        <v>5000</v>
      </c>
      <c r="D196" s="7" t="s">
        <v>77</v>
      </c>
      <c r="E196" s="7" t="s">
        <v>20</v>
      </c>
    </row>
    <row r="197" spans="1:5" ht="12.75">
      <c r="A197" s="6" t="str">
        <f>HYPERLINK(SUBSTITUTE(T(hl_0),"{0}","900329308006802"),hn_0)</f>
        <v>ОВ</v>
      </c>
      <c r="B197" s="7" t="s">
        <v>67</v>
      </c>
      <c r="C197" s="8">
        <v>5000</v>
      </c>
      <c r="D197" s="7" t="s">
        <v>90</v>
      </c>
      <c r="E197" s="7" t="s">
        <v>20</v>
      </c>
    </row>
    <row r="198" spans="1:5" ht="12.75">
      <c r="A198" s="6" t="str">
        <f>HYPERLINK(SUBSTITUTE(T(hl_0),"{0}","900329308006802"),hn_0)</f>
        <v>ОВ</v>
      </c>
      <c r="B198" s="7" t="s">
        <v>67</v>
      </c>
      <c r="C198" s="8">
        <v>5000</v>
      </c>
      <c r="D198" s="7" t="s">
        <v>90</v>
      </c>
      <c r="E198" s="7" t="s">
        <v>20</v>
      </c>
    </row>
    <row r="199" spans="1:5" ht="12.75">
      <c r="A199" s="6" t="str">
        <f>HYPERLINK(SUBSTITUTE(T(hl_0),"{0}","900329310974343"),hn_0)</f>
        <v>ОВ</v>
      </c>
      <c r="B199" s="7" t="s">
        <v>67</v>
      </c>
      <c r="C199" s="8">
        <v>5000</v>
      </c>
      <c r="D199" s="7" t="s">
        <v>72</v>
      </c>
      <c r="E199" s="7" t="s">
        <v>20</v>
      </c>
    </row>
    <row r="200" spans="1:5" ht="12.75">
      <c r="A200" s="6" t="str">
        <f>HYPERLINK(SUBSTITUTE(T(hl_0),"{0}","900329310974343"),hn_0)</f>
        <v>ОВ</v>
      </c>
      <c r="B200" s="7" t="s">
        <v>67</v>
      </c>
      <c r="C200" s="8">
        <v>5000</v>
      </c>
      <c r="D200" s="7" t="s">
        <v>72</v>
      </c>
      <c r="E200" s="7" t="s">
        <v>20</v>
      </c>
    </row>
    <row r="201" spans="1:5" ht="12.75">
      <c r="A201" s="6" t="str">
        <f>HYPERLINK(SUBSTITUTE(T(hl_0),"{0}","900329311266398"),hn_0)</f>
        <v>ОВ</v>
      </c>
      <c r="B201" s="7" t="s">
        <v>67</v>
      </c>
      <c r="C201" s="8">
        <v>5000</v>
      </c>
      <c r="D201" s="7" t="s">
        <v>91</v>
      </c>
      <c r="E201" s="7" t="s">
        <v>20</v>
      </c>
    </row>
    <row r="202" spans="1:5" ht="12.75">
      <c r="A202" s="6" t="str">
        <f>HYPERLINK(SUBSTITUTE(T(hl_0),"{0}","900329311266398"),hn_0)</f>
        <v>ОВ</v>
      </c>
      <c r="B202" s="7" t="s">
        <v>67</v>
      </c>
      <c r="C202" s="8">
        <v>5000</v>
      </c>
      <c r="D202" s="7" t="s">
        <v>91</v>
      </c>
      <c r="E202" s="7" t="s">
        <v>20</v>
      </c>
    </row>
    <row r="203" spans="1:5" ht="12.75">
      <c r="A203" s="6" t="str">
        <f>HYPERLINK(SUBSTITUTE(T(hl_0),"{0}","900329307740420"),hn_0)</f>
        <v>ОВ</v>
      </c>
      <c r="B203" s="7" t="s">
        <v>67</v>
      </c>
      <c r="C203" s="8">
        <v>5000</v>
      </c>
      <c r="D203" s="7" t="s">
        <v>92</v>
      </c>
      <c r="E203" s="7" t="s">
        <v>20</v>
      </c>
    </row>
    <row r="204" spans="1:5" ht="12.75">
      <c r="A204" s="6" t="str">
        <f>HYPERLINK(SUBSTITUTE(T(hl_0),"{0}","900329307740420"),hn_0)</f>
        <v>ОВ</v>
      </c>
      <c r="B204" s="7" t="s">
        <v>67</v>
      </c>
      <c r="C204" s="8">
        <v>5000</v>
      </c>
      <c r="D204" s="7" t="s">
        <v>92</v>
      </c>
      <c r="E204" s="7" t="s">
        <v>20</v>
      </c>
    </row>
    <row r="205" spans="1:5" ht="12.75">
      <c r="A205" s="6" t="str">
        <f>HYPERLINK(SUBSTITUTE(T(hl_0),"{0}","900329307671195"),hn_0)</f>
        <v>ОВ</v>
      </c>
      <c r="B205" s="7" t="s">
        <v>67</v>
      </c>
      <c r="C205" s="8">
        <v>5000</v>
      </c>
      <c r="D205" s="7" t="s">
        <v>75</v>
      </c>
      <c r="E205" s="7" t="s">
        <v>20</v>
      </c>
    </row>
    <row r="206" spans="1:5" ht="12.75">
      <c r="A206" s="6" t="str">
        <f>HYPERLINK(SUBSTITUTE(T(hl_0),"{0}","900329307671195"),hn_0)</f>
        <v>ОВ</v>
      </c>
      <c r="B206" s="7" t="s">
        <v>67</v>
      </c>
      <c r="C206" s="8">
        <v>5000</v>
      </c>
      <c r="D206" s="7" t="s">
        <v>75</v>
      </c>
      <c r="E206" s="7" t="s">
        <v>20</v>
      </c>
    </row>
    <row r="207" spans="1:5" ht="12.75">
      <c r="A207" s="6" t="str">
        <f>HYPERLINK(SUBSTITUTE(T(hl_0),"{0}","900329311898057"),hn_0)</f>
        <v>ОВ</v>
      </c>
      <c r="B207" s="7" t="s">
        <v>67</v>
      </c>
      <c r="C207" s="8">
        <v>5000</v>
      </c>
      <c r="D207" s="7" t="s">
        <v>93</v>
      </c>
      <c r="E207" s="7" t="s">
        <v>20</v>
      </c>
    </row>
    <row r="208" spans="1:5" ht="12.75">
      <c r="A208" s="6" t="str">
        <f>HYPERLINK(SUBSTITUTE(T(hl_0),"{0}","900329311898057"),hn_0)</f>
        <v>ОВ</v>
      </c>
      <c r="B208" s="7" t="s">
        <v>67</v>
      </c>
      <c r="C208" s="8">
        <v>5000</v>
      </c>
      <c r="D208" s="7" t="s">
        <v>93</v>
      </c>
      <c r="E208" s="7" t="s">
        <v>20</v>
      </c>
    </row>
    <row r="209" spans="1:5" ht="12.75">
      <c r="A209" s="6" t="str">
        <f>HYPERLINK(SUBSTITUTE(T(hl_0),"{0}","900329307917724"),hn_0)</f>
        <v>ОВ</v>
      </c>
      <c r="B209" s="7" t="s">
        <v>67</v>
      </c>
      <c r="C209" s="8">
        <v>5000</v>
      </c>
      <c r="D209" s="7" t="s">
        <v>79</v>
      </c>
      <c r="E209" s="7" t="s">
        <v>20</v>
      </c>
    </row>
    <row r="210" spans="1:5" ht="12.75">
      <c r="A210" s="6" t="str">
        <f>HYPERLINK(SUBSTITUTE(T(hl_0),"{0}","900329307917724"),hn_0)</f>
        <v>ОВ</v>
      </c>
      <c r="B210" s="7" t="s">
        <v>67</v>
      </c>
      <c r="C210" s="8">
        <v>5000</v>
      </c>
      <c r="D210" s="7" t="s">
        <v>79</v>
      </c>
      <c r="E210" s="7" t="s">
        <v>20</v>
      </c>
    </row>
    <row r="211" spans="1:5" ht="12.75">
      <c r="A211" s="6" t="str">
        <f>HYPERLINK(SUBSTITUTE(T(hl_0),"{0}","900329310839996"),hn_0)</f>
        <v>ОВ</v>
      </c>
      <c r="B211" s="7" t="s">
        <v>67</v>
      </c>
      <c r="C211" s="8">
        <v>5000</v>
      </c>
      <c r="D211" s="7" t="s">
        <v>76</v>
      </c>
      <c r="E211" s="7" t="s">
        <v>20</v>
      </c>
    </row>
    <row r="212" spans="1:5" ht="12.75">
      <c r="A212" s="6" t="str">
        <f>HYPERLINK(SUBSTITUTE(T(hl_0),"{0}","900329310839996"),hn_0)</f>
        <v>ОВ</v>
      </c>
      <c r="B212" s="7" t="s">
        <v>67</v>
      </c>
      <c r="C212" s="8">
        <v>5000</v>
      </c>
      <c r="D212" s="7" t="s">
        <v>76</v>
      </c>
      <c r="E212" s="7" t="s">
        <v>20</v>
      </c>
    </row>
    <row r="213" spans="1:5" ht="12.75">
      <c r="A213" s="6" t="str">
        <f>HYPERLINK(SUBSTITUTE(T(hl_0),"{0}","900329307850181"),hn_0)</f>
        <v>ОВ</v>
      </c>
      <c r="B213" s="7" t="s">
        <v>67</v>
      </c>
      <c r="C213" s="8">
        <v>5000</v>
      </c>
      <c r="D213" s="7" t="s">
        <v>92</v>
      </c>
      <c r="E213" s="7" t="s">
        <v>20</v>
      </c>
    </row>
    <row r="214" spans="1:5" ht="12.75">
      <c r="A214" s="6" t="str">
        <f>HYPERLINK(SUBSTITUTE(T(hl_0),"{0}","900329307850181"),hn_0)</f>
        <v>ОВ</v>
      </c>
      <c r="B214" s="7" t="s">
        <v>67</v>
      </c>
      <c r="C214" s="8">
        <v>5000</v>
      </c>
      <c r="D214" s="7" t="s">
        <v>92</v>
      </c>
      <c r="E214" s="7" t="s">
        <v>20</v>
      </c>
    </row>
    <row r="215" spans="1:5" ht="12.75">
      <c r="A215" s="6" t="str">
        <f>HYPERLINK(SUBSTITUTE(T(hl_0),"{0}","900329310872076"),hn_0)</f>
        <v>ОВ</v>
      </c>
      <c r="B215" s="7" t="s">
        <v>67</v>
      </c>
      <c r="C215" s="8">
        <v>5000</v>
      </c>
      <c r="D215" s="7" t="s">
        <v>94</v>
      </c>
      <c r="E215" s="7" t="s">
        <v>20</v>
      </c>
    </row>
    <row r="216" spans="1:5" ht="12.75">
      <c r="A216" s="6" t="str">
        <f>HYPERLINK(SUBSTITUTE(T(hl_0),"{0}","900329310872076"),hn_0)</f>
        <v>ОВ</v>
      </c>
      <c r="B216" s="7" t="s">
        <v>67</v>
      </c>
      <c r="C216" s="8">
        <v>5000</v>
      </c>
      <c r="D216" s="7" t="s">
        <v>94</v>
      </c>
      <c r="E216" s="7" t="s">
        <v>20</v>
      </c>
    </row>
    <row r="217" spans="1:5" ht="12.75">
      <c r="A217" s="6" t="str">
        <f>HYPERLINK(SUBSTITUTE(T(hl_0),"{0}","900329310896461"),hn_0)</f>
        <v>ОВ</v>
      </c>
      <c r="B217" s="7" t="s">
        <v>67</v>
      </c>
      <c r="C217" s="8">
        <v>5000</v>
      </c>
      <c r="D217" s="7" t="s">
        <v>95</v>
      </c>
      <c r="E217" s="7" t="s">
        <v>20</v>
      </c>
    </row>
    <row r="218" spans="1:5" ht="12.75">
      <c r="A218" s="6" t="str">
        <f>HYPERLINK(SUBSTITUTE(T(hl_0),"{0}","900329310896461"),hn_0)</f>
        <v>ОВ</v>
      </c>
      <c r="B218" s="7" t="s">
        <v>67</v>
      </c>
      <c r="C218" s="8">
        <v>5000</v>
      </c>
      <c r="D218" s="7" t="s">
        <v>95</v>
      </c>
      <c r="E218" s="7" t="s">
        <v>20</v>
      </c>
    </row>
    <row r="219" spans="1:5" ht="12.75">
      <c r="A219" s="6" t="str">
        <f>HYPERLINK(SUBSTITUTE(T(hl_0),"{0}","900329311508066"),hn_0)</f>
        <v>ОВ</v>
      </c>
      <c r="B219" s="7" t="s">
        <v>67</v>
      </c>
      <c r="C219" s="8">
        <v>5000</v>
      </c>
      <c r="D219" s="7" t="s">
        <v>96</v>
      </c>
      <c r="E219" s="7" t="s">
        <v>20</v>
      </c>
    </row>
    <row r="220" spans="1:5" ht="12.75">
      <c r="A220" s="6" t="str">
        <f>HYPERLINK(SUBSTITUTE(T(hl_0),"{0}","900329311508066"),hn_0)</f>
        <v>ОВ</v>
      </c>
      <c r="B220" s="7" t="s">
        <v>67</v>
      </c>
      <c r="C220" s="8">
        <v>5000</v>
      </c>
      <c r="D220" s="7" t="s">
        <v>96</v>
      </c>
      <c r="E220" s="7" t="s">
        <v>20</v>
      </c>
    </row>
    <row r="221" spans="1:5" ht="12.75">
      <c r="A221" s="6" t="str">
        <f>HYPERLINK(SUBSTITUTE(T(hl_0),"{0}","900327598538890"),hn_0)</f>
        <v>ОВ</v>
      </c>
      <c r="B221" s="7" t="s">
        <v>67</v>
      </c>
      <c r="C221" s="8">
        <v>5000</v>
      </c>
      <c r="D221" s="7" t="s">
        <v>81</v>
      </c>
      <c r="E221" s="7" t="s">
        <v>20</v>
      </c>
    </row>
    <row r="222" spans="1:5" ht="12.75">
      <c r="A222" s="6" t="str">
        <f>HYPERLINK(SUBSTITUTE(T(hl_0),"{0}","900327598538890"),hn_0)</f>
        <v>ОВ</v>
      </c>
      <c r="B222" s="7" t="s">
        <v>67</v>
      </c>
      <c r="C222" s="8">
        <v>5000</v>
      </c>
      <c r="D222" s="7" t="s">
        <v>81</v>
      </c>
      <c r="E222" s="7" t="s">
        <v>20</v>
      </c>
    </row>
    <row r="223" spans="1:5" ht="12.75">
      <c r="A223" s="6" t="str">
        <f>HYPERLINK(SUBSTITUTE(T(hl_0),"{0}","900327598210488"),hn_0)</f>
        <v>ОВ</v>
      </c>
      <c r="B223" s="7" t="s">
        <v>67</v>
      </c>
      <c r="C223" s="8">
        <v>5000</v>
      </c>
      <c r="D223" s="7" t="s">
        <v>71</v>
      </c>
      <c r="E223" s="7" t="s">
        <v>20</v>
      </c>
    </row>
    <row r="224" spans="1:5" ht="12.75">
      <c r="A224" s="6" t="str">
        <f>HYPERLINK(SUBSTITUTE(T(hl_0),"{0}","900327598210488"),hn_0)</f>
        <v>ОВ</v>
      </c>
      <c r="B224" s="7" t="s">
        <v>67</v>
      </c>
      <c r="C224" s="8">
        <v>5000</v>
      </c>
      <c r="D224" s="7" t="s">
        <v>71</v>
      </c>
      <c r="E224" s="7" t="s">
        <v>20</v>
      </c>
    </row>
    <row r="225" spans="1:5" ht="12.75">
      <c r="A225" s="6" t="str">
        <f>HYPERLINK(SUBSTITUTE(T(hl_0),"{0}","900327619801235"),hn_0)</f>
        <v>ОВ</v>
      </c>
      <c r="B225" s="7" t="s">
        <v>67</v>
      </c>
      <c r="C225" s="8">
        <v>5000</v>
      </c>
      <c r="D225" s="7" t="s">
        <v>97</v>
      </c>
      <c r="E225" s="7" t="s">
        <v>20</v>
      </c>
    </row>
    <row r="226" spans="1:5" ht="12.75">
      <c r="A226" s="6" t="str">
        <f>HYPERLINK(SUBSTITUTE(T(hl_0),"{0}","900327619801235"),hn_0)</f>
        <v>ОВ</v>
      </c>
      <c r="B226" s="7" t="s">
        <v>67</v>
      </c>
      <c r="C226" s="8">
        <v>5000</v>
      </c>
      <c r="D226" s="7" t="s">
        <v>97</v>
      </c>
      <c r="E226" s="7" t="s">
        <v>20</v>
      </c>
    </row>
    <row r="227" spans="1:5" ht="12.75">
      <c r="A227" s="6" t="str">
        <f>HYPERLINK(SUBSTITUTE(T(hl_0),"{0}","900327598156369"),hn_0)</f>
        <v>ОВ</v>
      </c>
      <c r="B227" s="7" t="s">
        <v>67</v>
      </c>
      <c r="C227" s="8">
        <v>5000</v>
      </c>
      <c r="D227" s="7" t="s">
        <v>79</v>
      </c>
      <c r="E227" s="7" t="s">
        <v>20</v>
      </c>
    </row>
    <row r="228" spans="1:5" ht="12.75">
      <c r="A228" s="6" t="str">
        <f>HYPERLINK(SUBSTITUTE(T(hl_0),"{0}","900327598156369"),hn_0)</f>
        <v>ОВ</v>
      </c>
      <c r="B228" s="7" t="s">
        <v>67</v>
      </c>
      <c r="C228" s="8">
        <v>5000</v>
      </c>
      <c r="D228" s="7" t="s">
        <v>79</v>
      </c>
      <c r="E228" s="7" t="s">
        <v>20</v>
      </c>
    </row>
    <row r="229" spans="1:5" ht="12.75">
      <c r="A229" s="6" t="str">
        <f>HYPERLINK(SUBSTITUTE(T(hl_0),"{0}","900327361761120"),hn_0)</f>
        <v>ОВ</v>
      </c>
      <c r="B229" s="7" t="s">
        <v>67</v>
      </c>
      <c r="C229" s="8">
        <v>5000</v>
      </c>
      <c r="D229" s="7" t="s">
        <v>98</v>
      </c>
      <c r="E229" s="7" t="s">
        <v>20</v>
      </c>
    </row>
    <row r="230" spans="1:5" ht="12.75">
      <c r="A230" s="6" t="str">
        <f>HYPERLINK(SUBSTITUTE(T(hl_0),"{0}","900327361761120"),hn_0)</f>
        <v>ОВ</v>
      </c>
      <c r="B230" s="7" t="s">
        <v>67</v>
      </c>
      <c r="C230" s="8">
        <v>5000</v>
      </c>
      <c r="D230" s="7" t="s">
        <v>98</v>
      </c>
      <c r="E230" s="7" t="s">
        <v>20</v>
      </c>
    </row>
    <row r="231" spans="1:5" ht="12.75">
      <c r="A231" s="6" t="str">
        <f>HYPERLINK(SUBSTITUTE(T(hl_0),"{0}","900327598375553"),hn_0)</f>
        <v>ОВ</v>
      </c>
      <c r="B231" s="7" t="s">
        <v>67</v>
      </c>
      <c r="C231" s="8">
        <v>5000</v>
      </c>
      <c r="D231" s="7" t="s">
        <v>99</v>
      </c>
      <c r="E231" s="7" t="s">
        <v>20</v>
      </c>
    </row>
    <row r="232" spans="1:5" ht="12.75">
      <c r="A232" s="6" t="str">
        <f>HYPERLINK(SUBSTITUTE(T(hl_0),"{0}","900327598375553"),hn_0)</f>
        <v>ОВ</v>
      </c>
      <c r="B232" s="7" t="s">
        <v>67</v>
      </c>
      <c r="C232" s="8">
        <v>5000</v>
      </c>
      <c r="D232" s="7" t="s">
        <v>99</v>
      </c>
      <c r="E232" s="7" t="s">
        <v>20</v>
      </c>
    </row>
    <row r="233" spans="1:5" ht="12.75">
      <c r="A233" s="6" t="str">
        <f>HYPERLINK(SUBSTITUTE(T(hl_0),"{0}","900327535274845"),hn_0)</f>
        <v>ОВ</v>
      </c>
      <c r="B233" s="7" t="s">
        <v>67</v>
      </c>
      <c r="C233" s="8">
        <v>5000</v>
      </c>
      <c r="D233" s="7" t="s">
        <v>100</v>
      </c>
      <c r="E233" s="7" t="s">
        <v>20</v>
      </c>
    </row>
    <row r="234" spans="1:5" ht="12.75">
      <c r="A234" s="6" t="str">
        <f>HYPERLINK(SUBSTITUTE(T(hl_0),"{0}","900327535274845"),hn_0)</f>
        <v>ОВ</v>
      </c>
      <c r="B234" s="7" t="s">
        <v>67</v>
      </c>
      <c r="C234" s="8">
        <v>5000</v>
      </c>
      <c r="D234" s="7" t="s">
        <v>100</v>
      </c>
      <c r="E234" s="7" t="s">
        <v>20</v>
      </c>
    </row>
    <row r="235" spans="1:5" ht="12.75">
      <c r="A235" s="6" t="str">
        <f>HYPERLINK(SUBSTITUTE(T(hl_0),"{0}","900327513193260"),hn_0)</f>
        <v>ОВ</v>
      </c>
      <c r="B235" s="7" t="s">
        <v>67</v>
      </c>
      <c r="C235" s="8">
        <v>5000</v>
      </c>
      <c r="D235" s="7" t="s">
        <v>101</v>
      </c>
      <c r="E235" s="7" t="s">
        <v>20</v>
      </c>
    </row>
    <row r="236" spans="1:5" ht="12.75">
      <c r="A236" s="6" t="str">
        <f>HYPERLINK(SUBSTITUTE(T(hl_0),"{0}","900327513193260"),hn_0)</f>
        <v>ОВ</v>
      </c>
      <c r="B236" s="7" t="s">
        <v>67</v>
      </c>
      <c r="C236" s="8">
        <v>5000</v>
      </c>
      <c r="D236" s="7" t="s">
        <v>101</v>
      </c>
      <c r="E236" s="7" t="s">
        <v>20</v>
      </c>
    </row>
    <row r="237" spans="1:5" ht="12.75">
      <c r="A237" s="6" t="str">
        <f>HYPERLINK(SUBSTITUTE(T(hl_0),"{0}","900327513119624"),hn_0)</f>
        <v>ОВ</v>
      </c>
      <c r="B237" s="7" t="s">
        <v>67</v>
      </c>
      <c r="C237" s="8">
        <v>5000</v>
      </c>
      <c r="D237" s="7" t="s">
        <v>102</v>
      </c>
      <c r="E237" s="7" t="s">
        <v>20</v>
      </c>
    </row>
    <row r="238" spans="1:5" ht="12.75">
      <c r="A238" s="6" t="str">
        <f>HYPERLINK(SUBSTITUTE(T(hl_0),"{0}","900327513119624"),hn_0)</f>
        <v>ОВ</v>
      </c>
      <c r="B238" s="7" t="s">
        <v>67</v>
      </c>
      <c r="C238" s="8">
        <v>5000</v>
      </c>
      <c r="D238" s="7" t="s">
        <v>102</v>
      </c>
      <c r="E238" s="7" t="s">
        <v>20</v>
      </c>
    </row>
    <row r="239" spans="1:5" ht="12.75">
      <c r="A239" s="6" t="str">
        <f>HYPERLINK(SUBSTITUTE(T(hl_0),"{0}","900327513134837"),hn_0)</f>
        <v>ОВ</v>
      </c>
      <c r="B239" s="7" t="s">
        <v>67</v>
      </c>
      <c r="C239" s="8">
        <v>5000</v>
      </c>
      <c r="D239" s="7" t="s">
        <v>102</v>
      </c>
      <c r="E239" s="7" t="s">
        <v>20</v>
      </c>
    </row>
    <row r="240" spans="1:5" ht="12.75">
      <c r="A240" s="6" t="str">
        <f>HYPERLINK(SUBSTITUTE(T(hl_0),"{0}","900327513134837"),hn_0)</f>
        <v>ОВ</v>
      </c>
      <c r="B240" s="7" t="s">
        <v>67</v>
      </c>
      <c r="C240" s="8">
        <v>5000</v>
      </c>
      <c r="D240" s="7" t="s">
        <v>102</v>
      </c>
      <c r="E240" s="7" t="s">
        <v>20</v>
      </c>
    </row>
    <row r="241" spans="1:5" ht="12.75">
      <c r="A241" s="6" t="str">
        <f>HYPERLINK(SUBSTITUTE(T(hl_0),"{0}","900327597665550"),hn_0)</f>
        <v>ОВ</v>
      </c>
      <c r="B241" s="7" t="s">
        <v>67</v>
      </c>
      <c r="C241" s="8">
        <v>5000</v>
      </c>
      <c r="D241" s="7" t="s">
        <v>103</v>
      </c>
      <c r="E241" s="7" t="s">
        <v>20</v>
      </c>
    </row>
    <row r="242" spans="1:5" ht="12.75">
      <c r="A242" s="6" t="str">
        <f>HYPERLINK(SUBSTITUTE(T(hl_0),"{0}","900327597665550"),hn_0)</f>
        <v>ОВ</v>
      </c>
      <c r="B242" s="7" t="s">
        <v>67</v>
      </c>
      <c r="C242" s="8">
        <v>5000</v>
      </c>
      <c r="D242" s="7" t="s">
        <v>103</v>
      </c>
      <c r="E242" s="7" t="s">
        <v>20</v>
      </c>
    </row>
    <row r="243" spans="1:5" ht="12.75">
      <c r="A243" s="6" t="str">
        <f>HYPERLINK(SUBSTITUTE(T(hl_0),"{0}","900327597768468"),hn_0)</f>
        <v>ОВ</v>
      </c>
      <c r="B243" s="7" t="s">
        <v>67</v>
      </c>
      <c r="C243" s="8">
        <v>5000</v>
      </c>
      <c r="D243" s="7" t="s">
        <v>104</v>
      </c>
      <c r="E243" s="7" t="s">
        <v>20</v>
      </c>
    </row>
    <row r="244" spans="1:5" ht="12.75">
      <c r="A244" s="6" t="str">
        <f>HYPERLINK(SUBSTITUTE(T(hl_0),"{0}","900327597768468"),hn_0)</f>
        <v>ОВ</v>
      </c>
      <c r="B244" s="7" t="s">
        <v>67</v>
      </c>
      <c r="C244" s="8">
        <v>5000</v>
      </c>
      <c r="D244" s="7" t="s">
        <v>104</v>
      </c>
      <c r="E244" s="7" t="s">
        <v>20</v>
      </c>
    </row>
    <row r="245" spans="1:5" ht="12.75">
      <c r="A245" s="6" t="str">
        <f>HYPERLINK(SUBSTITUTE(T(hl_0),"{0}","900327359635331"),hn_0)</f>
        <v>ОВ</v>
      </c>
      <c r="B245" s="7" t="s">
        <v>67</v>
      </c>
      <c r="C245" s="8">
        <v>5000</v>
      </c>
      <c r="D245" s="7" t="s">
        <v>105</v>
      </c>
      <c r="E245" s="7" t="s">
        <v>20</v>
      </c>
    </row>
    <row r="246" spans="1:5" ht="12.75">
      <c r="A246" s="6" t="str">
        <f>HYPERLINK(SUBSTITUTE(T(hl_0),"{0}","900327359635331"),hn_0)</f>
        <v>ОВ</v>
      </c>
      <c r="B246" s="7" t="s">
        <v>67</v>
      </c>
      <c r="C246" s="8">
        <v>5000</v>
      </c>
      <c r="D246" s="7" t="s">
        <v>105</v>
      </c>
      <c r="E246" s="7" t="s">
        <v>20</v>
      </c>
    </row>
    <row r="247" spans="1:5" ht="12.75">
      <c r="A247" s="6" t="str">
        <f>HYPERLINK(SUBSTITUTE(T(hl_0),"{0}","900327513149472"),hn_0)</f>
        <v>ОВ</v>
      </c>
      <c r="B247" s="7" t="s">
        <v>67</v>
      </c>
      <c r="C247" s="8">
        <v>5000</v>
      </c>
      <c r="D247" s="7" t="s">
        <v>102</v>
      </c>
      <c r="E247" s="7" t="s">
        <v>20</v>
      </c>
    </row>
    <row r="248" spans="1:5" ht="12.75">
      <c r="A248" s="6" t="str">
        <f>HYPERLINK(SUBSTITUTE(T(hl_0),"{0}","900327513149472"),hn_0)</f>
        <v>ОВ</v>
      </c>
      <c r="B248" s="7" t="s">
        <v>67</v>
      </c>
      <c r="C248" s="8">
        <v>5000</v>
      </c>
      <c r="D248" s="7" t="s">
        <v>102</v>
      </c>
      <c r="E248" s="7" t="s">
        <v>20</v>
      </c>
    </row>
    <row r="249" spans="1:5" ht="12.75">
      <c r="A249" s="6" t="str">
        <f>HYPERLINK(SUBSTITUTE(T(hl_0),"{0}","900327467540258"),hn_0)</f>
        <v>ОВ</v>
      </c>
      <c r="B249" s="7" t="s">
        <v>67</v>
      </c>
      <c r="C249" s="8">
        <v>5000</v>
      </c>
      <c r="D249" s="7" t="s">
        <v>94</v>
      </c>
      <c r="E249" s="7" t="s">
        <v>20</v>
      </c>
    </row>
    <row r="250" spans="1:5" ht="12.75">
      <c r="A250" s="6" t="str">
        <f>HYPERLINK(SUBSTITUTE(T(hl_0),"{0}","900327467540258"),hn_0)</f>
        <v>ОВ</v>
      </c>
      <c r="B250" s="7" t="s">
        <v>67</v>
      </c>
      <c r="C250" s="8">
        <v>5000</v>
      </c>
      <c r="D250" s="7" t="s">
        <v>94</v>
      </c>
      <c r="E250" s="7" t="s">
        <v>20</v>
      </c>
    </row>
    <row r="251" spans="1:5" ht="12.75">
      <c r="A251" s="6" t="str">
        <f>HYPERLINK(SUBSTITUTE(T(hl_0),"{0}","900327597927443"),hn_0)</f>
        <v>ОВ</v>
      </c>
      <c r="B251" s="7" t="s">
        <v>67</v>
      </c>
      <c r="C251" s="8">
        <v>5000</v>
      </c>
      <c r="D251" s="7" t="s">
        <v>106</v>
      </c>
      <c r="E251" s="7" t="s">
        <v>20</v>
      </c>
    </row>
    <row r="252" spans="1:5" ht="12.75">
      <c r="A252" s="6" t="str">
        <f>HYPERLINK(SUBSTITUTE(T(hl_0),"{0}","900327597927443"),hn_0)</f>
        <v>ОВ</v>
      </c>
      <c r="B252" s="7" t="s">
        <v>67</v>
      </c>
      <c r="C252" s="8">
        <v>5000</v>
      </c>
      <c r="D252" s="7" t="s">
        <v>106</v>
      </c>
      <c r="E252" s="7" t="s">
        <v>20</v>
      </c>
    </row>
    <row r="253" spans="1:5" ht="12.75">
      <c r="A253" s="6" t="str">
        <f>HYPERLINK(SUBSTITUTE(T(hl_0),"{0}","900327597945421"),hn_0)</f>
        <v>ОВ</v>
      </c>
      <c r="B253" s="7" t="s">
        <v>67</v>
      </c>
      <c r="C253" s="8">
        <v>5000</v>
      </c>
      <c r="D253" s="7" t="s">
        <v>92</v>
      </c>
      <c r="E253" s="7" t="s">
        <v>20</v>
      </c>
    </row>
    <row r="254" spans="1:5" ht="12.75">
      <c r="A254" s="6" t="str">
        <f>HYPERLINK(SUBSTITUTE(T(hl_0),"{0}","900327597945421"),hn_0)</f>
        <v>ОВ</v>
      </c>
      <c r="B254" s="7" t="s">
        <v>67</v>
      </c>
      <c r="C254" s="8">
        <v>5000</v>
      </c>
      <c r="D254" s="7" t="s">
        <v>92</v>
      </c>
      <c r="E254" s="7" t="s">
        <v>20</v>
      </c>
    </row>
    <row r="255" spans="1:5" ht="12.75">
      <c r="A255" s="6" t="str">
        <f>HYPERLINK(SUBSTITUTE(T(hl_0),"{0}","900327513461858"),hn_0)</f>
        <v>ОВ</v>
      </c>
      <c r="B255" s="7" t="s">
        <v>67</v>
      </c>
      <c r="C255" s="8">
        <v>5000</v>
      </c>
      <c r="D255" s="7" t="s">
        <v>107</v>
      </c>
      <c r="E255" s="7" t="s">
        <v>20</v>
      </c>
    </row>
    <row r="256" spans="1:5" ht="12.75">
      <c r="A256" s="6" t="str">
        <f>HYPERLINK(SUBSTITUTE(T(hl_0),"{0}","900327513461858"),hn_0)</f>
        <v>ОВ</v>
      </c>
      <c r="B256" s="7" t="s">
        <v>67</v>
      </c>
      <c r="C256" s="8">
        <v>5000</v>
      </c>
      <c r="D256" s="7" t="s">
        <v>107</v>
      </c>
      <c r="E256" s="7" t="s">
        <v>20</v>
      </c>
    </row>
    <row r="257" spans="1:5" ht="12.75">
      <c r="A257" s="6" t="str">
        <f>HYPERLINK(SUBSTITUTE(T(hl_0),"{0}","900327598186654"),hn_0)</f>
        <v>ОВ</v>
      </c>
      <c r="B257" s="7" t="s">
        <v>67</v>
      </c>
      <c r="C257" s="8">
        <v>5000</v>
      </c>
      <c r="D257" s="7" t="s">
        <v>71</v>
      </c>
      <c r="E257" s="7" t="s">
        <v>20</v>
      </c>
    </row>
    <row r="258" spans="1:5" ht="12.75">
      <c r="A258" s="6" t="str">
        <f>HYPERLINK(SUBSTITUTE(T(hl_0),"{0}","900327598186654"),hn_0)</f>
        <v>ОВ</v>
      </c>
      <c r="B258" s="7" t="s">
        <v>67</v>
      </c>
      <c r="C258" s="8">
        <v>5000</v>
      </c>
      <c r="D258" s="7" t="s">
        <v>71</v>
      </c>
      <c r="E258" s="7" t="s">
        <v>20</v>
      </c>
    </row>
    <row r="259" spans="1:5" ht="12.75">
      <c r="A259" s="6" t="str">
        <f>HYPERLINK(SUBSTITUTE(T(hl_0),"{0}","900327467919779"),hn_0)</f>
        <v>ОВ</v>
      </c>
      <c r="B259" s="7" t="s">
        <v>67</v>
      </c>
      <c r="C259" s="8">
        <v>5000</v>
      </c>
      <c r="D259" s="7" t="s">
        <v>108</v>
      </c>
      <c r="E259" s="7" t="s">
        <v>20</v>
      </c>
    </row>
    <row r="260" spans="1:5" ht="12.75">
      <c r="A260" s="6" t="str">
        <f>HYPERLINK(SUBSTITUTE(T(hl_0),"{0}","900327467919779"),hn_0)</f>
        <v>ОВ</v>
      </c>
      <c r="B260" s="7" t="s">
        <v>67</v>
      </c>
      <c r="C260" s="8">
        <v>5000</v>
      </c>
      <c r="D260" s="7" t="s">
        <v>108</v>
      </c>
      <c r="E260" s="7" t="s">
        <v>20</v>
      </c>
    </row>
    <row r="261" spans="1:5" ht="12.75">
      <c r="A261" s="6" t="str">
        <f>HYPERLINK(SUBSTITUTE(T(hl_0),"{0}","900327467927006"),hn_0)</f>
        <v>ОВ</v>
      </c>
      <c r="B261" s="7" t="s">
        <v>67</v>
      </c>
      <c r="C261" s="8">
        <v>5000</v>
      </c>
      <c r="D261" s="7" t="s">
        <v>108</v>
      </c>
      <c r="E261" s="7" t="s">
        <v>20</v>
      </c>
    </row>
    <row r="262" spans="1:5" ht="12.75">
      <c r="A262" s="6" t="str">
        <f>HYPERLINK(SUBSTITUTE(T(hl_0),"{0}","900327467927006"),hn_0)</f>
        <v>ОВ</v>
      </c>
      <c r="B262" s="7" t="s">
        <v>67</v>
      </c>
      <c r="C262" s="8">
        <v>5000</v>
      </c>
      <c r="D262" s="7" t="s">
        <v>108</v>
      </c>
      <c r="E262" s="7" t="s">
        <v>20</v>
      </c>
    </row>
    <row r="263" spans="1:5" ht="12.75">
      <c r="A263" s="6" t="str">
        <f>HYPERLINK(SUBSTITUTE(T(hl_0),"{0}","900327361868360"),hn_0)</f>
        <v>ОВ</v>
      </c>
      <c r="B263" s="7" t="s">
        <v>67</v>
      </c>
      <c r="C263" s="8">
        <v>5000</v>
      </c>
      <c r="D263" s="7" t="s">
        <v>109</v>
      </c>
      <c r="E263" s="7" t="s">
        <v>20</v>
      </c>
    </row>
    <row r="264" spans="1:5" ht="12.75">
      <c r="A264" s="6" t="str">
        <f>HYPERLINK(SUBSTITUTE(T(hl_0),"{0}","900327361868360"),hn_0)</f>
        <v>ОВ</v>
      </c>
      <c r="B264" s="7" t="s">
        <v>67</v>
      </c>
      <c r="C264" s="8">
        <v>5000</v>
      </c>
      <c r="D264" s="7" t="s">
        <v>109</v>
      </c>
      <c r="E264" s="7" t="s">
        <v>20</v>
      </c>
    </row>
    <row r="265" spans="1:5" ht="12.75">
      <c r="A265" s="6" t="str">
        <f>HYPERLINK(SUBSTITUTE(T(hl_0),"{0}","900327486635858"),hn_0)</f>
        <v>ОВ</v>
      </c>
      <c r="B265" s="7" t="s">
        <v>67</v>
      </c>
      <c r="C265" s="8">
        <v>5000</v>
      </c>
      <c r="D265" s="7" t="s">
        <v>110</v>
      </c>
      <c r="E265" s="7" t="s">
        <v>20</v>
      </c>
    </row>
    <row r="266" spans="1:5" ht="12.75">
      <c r="A266" s="6" t="str">
        <f>HYPERLINK(SUBSTITUTE(T(hl_0),"{0}","900327486635858"),hn_0)</f>
        <v>ОВ</v>
      </c>
      <c r="B266" s="7" t="s">
        <v>67</v>
      </c>
      <c r="C266" s="8">
        <v>5000</v>
      </c>
      <c r="D266" s="7" t="s">
        <v>110</v>
      </c>
      <c r="E266" s="7" t="s">
        <v>20</v>
      </c>
    </row>
    <row r="267" spans="1:5" ht="12.75">
      <c r="A267" s="6" t="str">
        <f>HYPERLINK(SUBSTITUTE(T(hl_0),"{0}","900327487277653"),hn_0)</f>
        <v>ОВ</v>
      </c>
      <c r="B267" s="7" t="s">
        <v>67</v>
      </c>
      <c r="C267" s="8">
        <v>5000</v>
      </c>
      <c r="D267" s="7" t="s">
        <v>111</v>
      </c>
      <c r="E267" s="7" t="s">
        <v>20</v>
      </c>
    </row>
    <row r="268" spans="1:5" ht="12.75">
      <c r="A268" s="6" t="str">
        <f>HYPERLINK(SUBSTITUTE(T(hl_0),"{0}","900327487277653"),hn_0)</f>
        <v>ОВ</v>
      </c>
      <c r="B268" s="7" t="s">
        <v>67</v>
      </c>
      <c r="C268" s="8">
        <v>5000</v>
      </c>
      <c r="D268" s="7" t="s">
        <v>111</v>
      </c>
      <c r="E268" s="7" t="s">
        <v>20</v>
      </c>
    </row>
    <row r="269" spans="1:5" ht="12.75">
      <c r="A269" s="6" t="str">
        <f>HYPERLINK(SUBSTITUTE(T(hl_0),"{0}","900327487269263"),hn_0)</f>
        <v>ОВ</v>
      </c>
      <c r="B269" s="7" t="s">
        <v>67</v>
      </c>
      <c r="C269" s="8">
        <v>5000</v>
      </c>
      <c r="D269" s="7" t="s">
        <v>85</v>
      </c>
      <c r="E269" s="7" t="s">
        <v>20</v>
      </c>
    </row>
    <row r="270" spans="1:5" ht="12.75">
      <c r="A270" s="6" t="str">
        <f>HYPERLINK(SUBSTITUTE(T(hl_0),"{0}","900327487269263"),hn_0)</f>
        <v>ОВ</v>
      </c>
      <c r="B270" s="7" t="s">
        <v>67</v>
      </c>
      <c r="C270" s="8">
        <v>5000</v>
      </c>
      <c r="D270" s="7" t="s">
        <v>85</v>
      </c>
      <c r="E270" s="7" t="s">
        <v>20</v>
      </c>
    </row>
    <row r="271" spans="1:5" ht="12.75">
      <c r="A271" s="6" t="str">
        <f>HYPERLINK(SUBSTITUTE(T(hl_0),"{0}","900327535323427"),hn_0)</f>
        <v>ОВ</v>
      </c>
      <c r="B271" s="7" t="s">
        <v>67</v>
      </c>
      <c r="C271" s="8">
        <v>5000</v>
      </c>
      <c r="D271" s="7" t="s">
        <v>112</v>
      </c>
      <c r="E271" s="7" t="s">
        <v>20</v>
      </c>
    </row>
    <row r="272" spans="1:5" ht="12.75">
      <c r="A272" s="6" t="str">
        <f>HYPERLINK(SUBSTITUTE(T(hl_0),"{0}","900327535323427"),hn_0)</f>
        <v>ОВ</v>
      </c>
      <c r="B272" s="7" t="s">
        <v>67</v>
      </c>
      <c r="C272" s="8">
        <v>5000</v>
      </c>
      <c r="D272" s="7" t="s">
        <v>112</v>
      </c>
      <c r="E272" s="7" t="s">
        <v>20</v>
      </c>
    </row>
    <row r="273" spans="1:5" ht="12.75">
      <c r="A273" s="6" t="str">
        <f>HYPERLINK(SUBSTITUTE(T(hl_0),"{0}","900327598729330"),hn_0)</f>
        <v>ОВ</v>
      </c>
      <c r="B273" s="7" t="s">
        <v>67</v>
      </c>
      <c r="C273" s="8">
        <v>5000</v>
      </c>
      <c r="D273" s="7" t="s">
        <v>80</v>
      </c>
      <c r="E273" s="7" t="s">
        <v>20</v>
      </c>
    </row>
    <row r="274" spans="1:5" ht="12.75">
      <c r="A274" s="6" t="str">
        <f>HYPERLINK(SUBSTITUTE(T(hl_0),"{0}","900327598729330"),hn_0)</f>
        <v>ОВ</v>
      </c>
      <c r="B274" s="7" t="s">
        <v>67</v>
      </c>
      <c r="C274" s="8">
        <v>5000</v>
      </c>
      <c r="D274" s="7" t="s">
        <v>80</v>
      </c>
      <c r="E274" s="7" t="s">
        <v>20</v>
      </c>
    </row>
    <row r="275" spans="1:5" ht="12.75">
      <c r="A275" s="6" t="str">
        <f>HYPERLINK(SUBSTITUTE(T(hl_0),"{0}","900327536297977"),hn_0)</f>
        <v>ОВ</v>
      </c>
      <c r="B275" s="7" t="s">
        <v>67</v>
      </c>
      <c r="C275" s="8">
        <v>5000</v>
      </c>
      <c r="D275" s="7" t="s">
        <v>113</v>
      </c>
      <c r="E275" s="7" t="s">
        <v>20</v>
      </c>
    </row>
    <row r="276" spans="1:5" ht="12.75">
      <c r="A276" s="6" t="str">
        <f>HYPERLINK(SUBSTITUTE(T(hl_0),"{0}","900327536297977"),hn_0)</f>
        <v>ОВ</v>
      </c>
      <c r="B276" s="7" t="s">
        <v>67</v>
      </c>
      <c r="C276" s="8">
        <v>5000</v>
      </c>
      <c r="D276" s="7" t="s">
        <v>113</v>
      </c>
      <c r="E276" s="7" t="s">
        <v>20</v>
      </c>
    </row>
    <row r="277" spans="1:5" ht="12.75">
      <c r="A277" s="6" t="str">
        <f>HYPERLINK(SUBSTITUTE(T(hl_0),"{0}","900327362138295"),hn_0)</f>
        <v>ОВ</v>
      </c>
      <c r="B277" s="7" t="s">
        <v>67</v>
      </c>
      <c r="C277" s="8">
        <v>5000</v>
      </c>
      <c r="D277" s="7" t="s">
        <v>109</v>
      </c>
      <c r="E277" s="7" t="s">
        <v>20</v>
      </c>
    </row>
    <row r="278" spans="1:5" ht="12.75">
      <c r="A278" s="6" t="str">
        <f>HYPERLINK(SUBSTITUTE(T(hl_0),"{0}","900327362138295"),hn_0)</f>
        <v>ОВ</v>
      </c>
      <c r="B278" s="7" t="s">
        <v>67</v>
      </c>
      <c r="C278" s="8">
        <v>5000</v>
      </c>
      <c r="D278" s="7" t="s">
        <v>109</v>
      </c>
      <c r="E278" s="7" t="s">
        <v>20</v>
      </c>
    </row>
    <row r="279" spans="1:5" ht="12.75">
      <c r="A279" s="6" t="str">
        <f>HYPERLINK(SUBSTITUTE(T(hl_0),"{0}","900327360845085"),hn_0)</f>
        <v>ОВ</v>
      </c>
      <c r="B279" s="7" t="s">
        <v>67</v>
      </c>
      <c r="C279" s="8">
        <v>5000</v>
      </c>
      <c r="D279" s="7" t="s">
        <v>114</v>
      </c>
      <c r="E279" s="7" t="s">
        <v>20</v>
      </c>
    </row>
    <row r="280" spans="1:5" ht="12.75">
      <c r="A280" s="6" t="str">
        <f>HYPERLINK(SUBSTITUTE(T(hl_0),"{0}","900327360845085"),hn_0)</f>
        <v>ОВ</v>
      </c>
      <c r="B280" s="7" t="s">
        <v>67</v>
      </c>
      <c r="C280" s="8">
        <v>5000</v>
      </c>
      <c r="D280" s="7" t="s">
        <v>114</v>
      </c>
      <c r="E280" s="7" t="s">
        <v>20</v>
      </c>
    </row>
    <row r="281" spans="1:5" ht="12.75">
      <c r="A281" s="6" t="str">
        <f>HYPERLINK(SUBSTITUTE(T(hl_0),"{0}","900327513304035"),hn_0)</f>
        <v>ОВ</v>
      </c>
      <c r="B281" s="7" t="s">
        <v>67</v>
      </c>
      <c r="C281" s="8">
        <v>5000</v>
      </c>
      <c r="D281" s="7" t="s">
        <v>101</v>
      </c>
      <c r="E281" s="7" t="s">
        <v>20</v>
      </c>
    </row>
    <row r="282" spans="1:5" ht="12.75">
      <c r="A282" s="6" t="str">
        <f>HYPERLINK(SUBSTITUTE(T(hl_0),"{0}","900327513304035"),hn_0)</f>
        <v>ОВ</v>
      </c>
      <c r="B282" s="7" t="s">
        <v>67</v>
      </c>
      <c r="C282" s="8">
        <v>5000</v>
      </c>
      <c r="D282" s="7" t="s">
        <v>101</v>
      </c>
      <c r="E282" s="7" t="s">
        <v>20</v>
      </c>
    </row>
    <row r="283" spans="1:5" ht="12.75">
      <c r="A283" s="6" t="str">
        <f>HYPERLINK(SUBSTITUTE(T(hl_0),"{0}","900327598524894"),hn_0)</f>
        <v>ОВ</v>
      </c>
      <c r="B283" s="7" t="s">
        <v>67</v>
      </c>
      <c r="C283" s="8">
        <v>5000</v>
      </c>
      <c r="D283" s="7" t="s">
        <v>81</v>
      </c>
      <c r="E283" s="7" t="s">
        <v>20</v>
      </c>
    </row>
    <row r="284" spans="1:5" ht="12.75">
      <c r="A284" s="6" t="str">
        <f>HYPERLINK(SUBSTITUTE(T(hl_0),"{0}","900327598524894"),hn_0)</f>
        <v>ОВ</v>
      </c>
      <c r="B284" s="7" t="s">
        <v>67</v>
      </c>
      <c r="C284" s="8">
        <v>5000</v>
      </c>
      <c r="D284" s="7" t="s">
        <v>81</v>
      </c>
      <c r="E284" s="7" t="s">
        <v>20</v>
      </c>
    </row>
    <row r="285" spans="1:5" ht="12.75">
      <c r="A285" s="6" t="str">
        <f>HYPERLINK(SUBSTITUTE(T(hl_0),"{0}","900327597503091"),hn_0)</f>
        <v>ОВ</v>
      </c>
      <c r="B285" s="7" t="s">
        <v>67</v>
      </c>
      <c r="C285" s="8">
        <v>5000</v>
      </c>
      <c r="D285" s="7" t="s">
        <v>115</v>
      </c>
      <c r="E285" s="7" t="s">
        <v>20</v>
      </c>
    </row>
    <row r="286" spans="1:5" ht="12.75">
      <c r="A286" s="6" t="str">
        <f>HYPERLINK(SUBSTITUTE(T(hl_0),"{0}","900327597503091"),hn_0)</f>
        <v>ОВ</v>
      </c>
      <c r="B286" s="7" t="s">
        <v>67</v>
      </c>
      <c r="C286" s="8">
        <v>5000</v>
      </c>
      <c r="D286" s="7" t="s">
        <v>115</v>
      </c>
      <c r="E286" s="7" t="s">
        <v>20</v>
      </c>
    </row>
    <row r="287" spans="1:5" ht="12.75">
      <c r="A287" s="6" t="str">
        <f>HYPERLINK(SUBSTITUTE(T(hl_0),"{0}","900327534873805"),hn_0)</f>
        <v>ОВ</v>
      </c>
      <c r="B287" s="7" t="s">
        <v>67</v>
      </c>
      <c r="C287" s="8">
        <v>5000</v>
      </c>
      <c r="D287" s="7" t="s">
        <v>116</v>
      </c>
      <c r="E287" s="7" t="s">
        <v>20</v>
      </c>
    </row>
    <row r="288" spans="1:5" ht="12.75">
      <c r="A288" s="6" t="str">
        <f>HYPERLINK(SUBSTITUTE(T(hl_0),"{0}","900327534873805"),hn_0)</f>
        <v>ОВ</v>
      </c>
      <c r="B288" s="7" t="s">
        <v>67</v>
      </c>
      <c r="C288" s="8">
        <v>5000</v>
      </c>
      <c r="D288" s="7" t="s">
        <v>116</v>
      </c>
      <c r="E288" s="7" t="s">
        <v>20</v>
      </c>
    </row>
    <row r="289" spans="1:5" ht="12.75">
      <c r="A289" s="6" t="str">
        <f>HYPERLINK(SUBSTITUTE(T(hl_0),"{0}","900327535721242"),hn_0)</f>
        <v>ОВ</v>
      </c>
      <c r="B289" s="7" t="s">
        <v>67</v>
      </c>
      <c r="C289" s="8">
        <v>5000</v>
      </c>
      <c r="D289" s="7" t="s">
        <v>74</v>
      </c>
      <c r="E289" s="7" t="s">
        <v>20</v>
      </c>
    </row>
    <row r="290" spans="1:5" ht="12.75">
      <c r="A290" s="6" t="str">
        <f>HYPERLINK(SUBSTITUTE(T(hl_0),"{0}","900327535721242"),hn_0)</f>
        <v>ОВ</v>
      </c>
      <c r="B290" s="7" t="s">
        <v>67</v>
      </c>
      <c r="C290" s="8">
        <v>5000</v>
      </c>
      <c r="D290" s="7" t="s">
        <v>74</v>
      </c>
      <c r="E290" s="7" t="s">
        <v>20</v>
      </c>
    </row>
    <row r="291" spans="1:5" ht="12.75">
      <c r="A291" s="6" t="str">
        <f>HYPERLINK(SUBSTITUTE(T(hl_0),"{0}","900327362353037"),hn_0)</f>
        <v>ОВ</v>
      </c>
      <c r="B291" s="7" t="s">
        <v>67</v>
      </c>
      <c r="C291" s="8">
        <v>5000</v>
      </c>
      <c r="D291" s="7" t="s">
        <v>117</v>
      </c>
      <c r="E291" s="7" t="s">
        <v>20</v>
      </c>
    </row>
    <row r="292" spans="1:5" ht="12.75">
      <c r="A292" s="6" t="str">
        <f>HYPERLINK(SUBSTITUTE(T(hl_0),"{0}","900327362353037"),hn_0)</f>
        <v>ОВ</v>
      </c>
      <c r="B292" s="7" t="s">
        <v>67</v>
      </c>
      <c r="C292" s="8">
        <v>5000</v>
      </c>
      <c r="D292" s="7" t="s">
        <v>117</v>
      </c>
      <c r="E292" s="7" t="s">
        <v>20</v>
      </c>
    </row>
    <row r="293" spans="1:5" ht="12.75">
      <c r="A293" s="6" t="str">
        <f>HYPERLINK(SUBSTITUTE(T(hl_0),"{0}","900327534234706"),hn_0)</f>
        <v>ОВ</v>
      </c>
      <c r="B293" s="7" t="s">
        <v>67</v>
      </c>
      <c r="C293" s="8">
        <v>5000</v>
      </c>
      <c r="D293" s="7" t="s">
        <v>118</v>
      </c>
      <c r="E293" s="7" t="s">
        <v>20</v>
      </c>
    </row>
    <row r="294" spans="1:5" ht="12.75">
      <c r="A294" s="6" t="str">
        <f>HYPERLINK(SUBSTITUTE(T(hl_0),"{0}","900327534234706"),hn_0)</f>
        <v>ОВ</v>
      </c>
      <c r="B294" s="7" t="s">
        <v>67</v>
      </c>
      <c r="C294" s="8">
        <v>5000</v>
      </c>
      <c r="D294" s="7" t="s">
        <v>118</v>
      </c>
      <c r="E294" s="7" t="s">
        <v>20</v>
      </c>
    </row>
    <row r="295" spans="1:5" ht="12.75">
      <c r="A295" s="6" t="str">
        <f>HYPERLINK(SUBSTITUTE(T(hl_0),"{0}","900327598567030"),hn_0)</f>
        <v>ОВ</v>
      </c>
      <c r="B295" s="7" t="s">
        <v>67</v>
      </c>
      <c r="C295" s="8">
        <v>5000</v>
      </c>
      <c r="D295" s="7" t="s">
        <v>106</v>
      </c>
      <c r="E295" s="7" t="s">
        <v>20</v>
      </c>
    </row>
    <row r="296" spans="1:5" ht="12.75">
      <c r="A296" s="6" t="str">
        <f>HYPERLINK(SUBSTITUTE(T(hl_0),"{0}","900327598567030"),hn_0)</f>
        <v>ОВ</v>
      </c>
      <c r="B296" s="7" t="s">
        <v>67</v>
      </c>
      <c r="C296" s="8">
        <v>5000</v>
      </c>
      <c r="D296" s="7" t="s">
        <v>106</v>
      </c>
      <c r="E296" s="7" t="s">
        <v>20</v>
      </c>
    </row>
    <row r="297" spans="1:5" ht="12.75">
      <c r="A297" s="6" t="str">
        <f>HYPERLINK(SUBSTITUTE(T(hl_0),"{0}","900327595240412"),hn_0)</f>
        <v>ОВ</v>
      </c>
      <c r="B297" s="7" t="s">
        <v>67</v>
      </c>
      <c r="C297" s="8">
        <v>5000</v>
      </c>
      <c r="D297" s="7" t="s">
        <v>92</v>
      </c>
      <c r="E297" s="7" t="s">
        <v>20</v>
      </c>
    </row>
    <row r="298" spans="1:5" ht="12.75">
      <c r="A298" s="6" t="str">
        <f>HYPERLINK(SUBSTITUTE(T(hl_0),"{0}","900327595240412"),hn_0)</f>
        <v>ОВ</v>
      </c>
      <c r="B298" s="7" t="s">
        <v>67</v>
      </c>
      <c r="C298" s="8">
        <v>5000</v>
      </c>
      <c r="D298" s="7" t="s">
        <v>92</v>
      </c>
      <c r="E298" s="7" t="s">
        <v>20</v>
      </c>
    </row>
    <row r="299" spans="1:5" ht="12.75">
      <c r="A299" s="6" t="str">
        <f>HYPERLINK(SUBSTITUTE(T(hl_0),"{0}","900327513123667"),hn_0)</f>
        <v>ОВ</v>
      </c>
      <c r="B299" s="7" t="s">
        <v>67</v>
      </c>
      <c r="C299" s="8">
        <v>5000</v>
      </c>
      <c r="D299" s="7" t="s">
        <v>102</v>
      </c>
      <c r="E299" s="7" t="s">
        <v>20</v>
      </c>
    </row>
    <row r="300" spans="1:5" ht="12.75">
      <c r="A300" s="6" t="str">
        <f>HYPERLINK(SUBSTITUTE(T(hl_0),"{0}","900327513123667"),hn_0)</f>
        <v>ОВ</v>
      </c>
      <c r="B300" s="7" t="s">
        <v>67</v>
      </c>
      <c r="C300" s="8">
        <v>5000</v>
      </c>
      <c r="D300" s="7" t="s">
        <v>102</v>
      </c>
      <c r="E300" s="7" t="s">
        <v>20</v>
      </c>
    </row>
    <row r="301" spans="1:5" ht="12.75">
      <c r="A301" s="6" t="str">
        <f>HYPERLINK(SUBSTITUTE(T(hl_0),"{0}","900327513134846"),hn_0)</f>
        <v>ОВ</v>
      </c>
      <c r="B301" s="7" t="s">
        <v>67</v>
      </c>
      <c r="C301" s="8">
        <v>5000</v>
      </c>
      <c r="D301" s="7" t="s">
        <v>102</v>
      </c>
      <c r="E301" s="7" t="s">
        <v>20</v>
      </c>
    </row>
    <row r="302" spans="1:5" ht="12.75">
      <c r="A302" s="6" t="str">
        <f>HYPERLINK(SUBSTITUTE(T(hl_0),"{0}","900327513134846"),hn_0)</f>
        <v>ОВ</v>
      </c>
      <c r="B302" s="7" t="s">
        <v>67</v>
      </c>
      <c r="C302" s="8">
        <v>5000</v>
      </c>
      <c r="D302" s="7" t="s">
        <v>102</v>
      </c>
      <c r="E302" s="7" t="s">
        <v>20</v>
      </c>
    </row>
    <row r="303" spans="1:5" ht="12.75">
      <c r="A303" s="6" t="str">
        <f>HYPERLINK(SUBSTITUTE(T(hl_0),"{0}","900327513134858"),hn_0)</f>
        <v>ОВ</v>
      </c>
      <c r="B303" s="7" t="s">
        <v>67</v>
      </c>
      <c r="C303" s="8">
        <v>5000</v>
      </c>
      <c r="D303" s="7" t="s">
        <v>102</v>
      </c>
      <c r="E303" s="7" t="s">
        <v>20</v>
      </c>
    </row>
    <row r="304" spans="1:5" ht="12.75">
      <c r="A304" s="6" t="str">
        <f>HYPERLINK(SUBSTITUTE(T(hl_0),"{0}","900327513134858"),hn_0)</f>
        <v>ОВ</v>
      </c>
      <c r="B304" s="7" t="s">
        <v>67</v>
      </c>
      <c r="C304" s="8">
        <v>5000</v>
      </c>
      <c r="D304" s="7" t="s">
        <v>102</v>
      </c>
      <c r="E304" s="7" t="s">
        <v>20</v>
      </c>
    </row>
    <row r="305" spans="1:5" ht="12.75">
      <c r="A305" s="6" t="str">
        <f>HYPERLINK(SUBSTITUTE(T(hl_0),"{0}","900327487653460"),hn_0)</f>
        <v>ОВ</v>
      </c>
      <c r="B305" s="7" t="s">
        <v>67</v>
      </c>
      <c r="C305" s="8">
        <v>5000</v>
      </c>
      <c r="D305" s="7" t="s">
        <v>94</v>
      </c>
      <c r="E305" s="7" t="s">
        <v>20</v>
      </c>
    </row>
    <row r="306" spans="1:5" ht="12.75">
      <c r="A306" s="6" t="str">
        <f>HYPERLINK(SUBSTITUTE(T(hl_0),"{0}","900327487653460"),hn_0)</f>
        <v>ОВ</v>
      </c>
      <c r="B306" s="7" t="s">
        <v>67</v>
      </c>
      <c r="C306" s="8">
        <v>5000</v>
      </c>
      <c r="D306" s="7" t="s">
        <v>94</v>
      </c>
      <c r="E306" s="7" t="s">
        <v>20</v>
      </c>
    </row>
    <row r="307" spans="1:5" ht="12.75">
      <c r="A307" s="6" t="str">
        <f>HYPERLINK(SUBSTITUTE(T(hl_0),"{0}","900327488209806"),hn_0)</f>
        <v>ОВ</v>
      </c>
      <c r="B307" s="7" t="s">
        <v>67</v>
      </c>
      <c r="C307" s="8">
        <v>5000</v>
      </c>
      <c r="D307" s="7" t="s">
        <v>119</v>
      </c>
      <c r="E307" s="7" t="s">
        <v>20</v>
      </c>
    </row>
    <row r="308" spans="1:5" ht="12.75">
      <c r="A308" s="6" t="str">
        <f>HYPERLINK(SUBSTITUTE(T(hl_0),"{0}","900327488209806"),hn_0)</f>
        <v>ОВ</v>
      </c>
      <c r="B308" s="7" t="s">
        <v>67</v>
      </c>
      <c r="C308" s="8">
        <v>5000</v>
      </c>
      <c r="D308" s="7" t="s">
        <v>119</v>
      </c>
      <c r="E308" s="7" t="s">
        <v>20</v>
      </c>
    </row>
    <row r="309" spans="1:5" ht="12.75">
      <c r="A309" s="6" t="str">
        <f>HYPERLINK(SUBSTITUTE(T(hl_0),"{0}","900327535358691"),hn_0)</f>
        <v>ОВ</v>
      </c>
      <c r="B309" s="7" t="s">
        <v>67</v>
      </c>
      <c r="C309" s="8">
        <v>5000</v>
      </c>
      <c r="D309" s="7" t="s">
        <v>75</v>
      </c>
      <c r="E309" s="7" t="s">
        <v>20</v>
      </c>
    </row>
    <row r="310" spans="1:5" ht="12.75">
      <c r="A310" s="6" t="str">
        <f>HYPERLINK(SUBSTITUTE(T(hl_0),"{0}","900327535358691"),hn_0)</f>
        <v>ОВ</v>
      </c>
      <c r="B310" s="7" t="s">
        <v>67</v>
      </c>
      <c r="C310" s="8">
        <v>5000</v>
      </c>
      <c r="D310" s="7" t="s">
        <v>75</v>
      </c>
      <c r="E310" s="7" t="s">
        <v>20</v>
      </c>
    </row>
    <row r="311" spans="1:5" ht="12.75">
      <c r="A311" s="6" t="str">
        <f>HYPERLINK(SUBSTITUTE(T(hl_0),"{0}","900327362231329"),hn_0)</f>
        <v>ОВ</v>
      </c>
      <c r="B311" s="7" t="s">
        <v>67</v>
      </c>
      <c r="C311" s="8">
        <v>5000</v>
      </c>
      <c r="D311" s="7" t="s">
        <v>120</v>
      </c>
      <c r="E311" s="7" t="s">
        <v>20</v>
      </c>
    </row>
    <row r="312" spans="1:5" ht="12.75">
      <c r="A312" s="6" t="str">
        <f>HYPERLINK(SUBSTITUTE(T(hl_0),"{0}","900327362231329"),hn_0)</f>
        <v>ОВ</v>
      </c>
      <c r="B312" s="7" t="s">
        <v>67</v>
      </c>
      <c r="C312" s="8">
        <v>5000</v>
      </c>
      <c r="D312" s="7" t="s">
        <v>120</v>
      </c>
      <c r="E312" s="7" t="s">
        <v>20</v>
      </c>
    </row>
    <row r="313" spans="1:5" ht="12.75">
      <c r="A313" s="6" t="str">
        <f>HYPERLINK(SUBSTITUTE(T(hl_0),"{0}","900327597574982"),hn_0)</f>
        <v>ОВ</v>
      </c>
      <c r="B313" s="7" t="s">
        <v>67</v>
      </c>
      <c r="C313" s="8">
        <v>5000</v>
      </c>
      <c r="D313" s="7" t="s">
        <v>115</v>
      </c>
      <c r="E313" s="7" t="s">
        <v>20</v>
      </c>
    </row>
    <row r="314" spans="1:5" ht="12.75">
      <c r="A314" s="6" t="str">
        <f>HYPERLINK(SUBSTITUTE(T(hl_0),"{0}","900327597574982"),hn_0)</f>
        <v>ОВ</v>
      </c>
      <c r="B314" s="7" t="s">
        <v>67</v>
      </c>
      <c r="C314" s="8">
        <v>5000</v>
      </c>
      <c r="D314" s="7" t="s">
        <v>115</v>
      </c>
      <c r="E314" s="7" t="s">
        <v>20</v>
      </c>
    </row>
    <row r="315" spans="1:5" ht="12.75">
      <c r="A315" s="6" t="str">
        <f>HYPERLINK(SUBSTITUTE(T(hl_0),"{0}","900327361172857"),hn_0)</f>
        <v>ОВ</v>
      </c>
      <c r="B315" s="7" t="s">
        <v>67</v>
      </c>
      <c r="C315" s="8">
        <v>5000</v>
      </c>
      <c r="D315" s="7" t="s">
        <v>121</v>
      </c>
      <c r="E315" s="7" t="s">
        <v>20</v>
      </c>
    </row>
    <row r="316" spans="1:5" ht="12.75">
      <c r="A316" s="6" t="str">
        <f>HYPERLINK(SUBSTITUTE(T(hl_0),"{0}","900327361172857"),hn_0)</f>
        <v>ОВ</v>
      </c>
      <c r="B316" s="7" t="s">
        <v>67</v>
      </c>
      <c r="C316" s="8">
        <v>5000</v>
      </c>
      <c r="D316" s="7" t="s">
        <v>121</v>
      </c>
      <c r="E316" s="7" t="s">
        <v>20</v>
      </c>
    </row>
    <row r="317" spans="1:5" ht="12.75">
      <c r="A317" s="6" t="str">
        <f>HYPERLINK(SUBSTITUTE(T(hl_0),"{0}","900327597329983"),hn_0)</f>
        <v>ОВ</v>
      </c>
      <c r="B317" s="7" t="s">
        <v>67</v>
      </c>
      <c r="C317" s="8">
        <v>5000</v>
      </c>
      <c r="D317" s="7" t="s">
        <v>122</v>
      </c>
      <c r="E317" s="7" t="s">
        <v>20</v>
      </c>
    </row>
    <row r="318" spans="1:5" ht="12.75">
      <c r="A318" s="6" t="str">
        <f>HYPERLINK(SUBSTITUTE(T(hl_0),"{0}","900327597329983"),hn_0)</f>
        <v>ОВ</v>
      </c>
      <c r="B318" s="7" t="s">
        <v>67</v>
      </c>
      <c r="C318" s="8">
        <v>5000</v>
      </c>
      <c r="D318" s="7" t="s">
        <v>122</v>
      </c>
      <c r="E318" s="7" t="s">
        <v>20</v>
      </c>
    </row>
    <row r="319" spans="1:5" ht="12.75">
      <c r="A319" s="6" t="str">
        <f>HYPERLINK(SUBSTITUTE(T(hl_0),"{0}","900327359168810"),hn_0)</f>
        <v>ОВ</v>
      </c>
      <c r="B319" s="7" t="s">
        <v>67</v>
      </c>
      <c r="C319" s="8">
        <v>5000</v>
      </c>
      <c r="D319" s="7" t="s">
        <v>123</v>
      </c>
      <c r="E319" s="7" t="s">
        <v>20</v>
      </c>
    </row>
    <row r="320" spans="1:5" ht="12.75">
      <c r="A320" s="6" t="str">
        <f>HYPERLINK(SUBSTITUTE(T(hl_0),"{0}","900327359168810"),hn_0)</f>
        <v>ОВ</v>
      </c>
      <c r="B320" s="7" t="s">
        <v>67</v>
      </c>
      <c r="C320" s="8">
        <v>5000</v>
      </c>
      <c r="D320" s="7" t="s">
        <v>123</v>
      </c>
      <c r="E320" s="7" t="s">
        <v>20</v>
      </c>
    </row>
    <row r="321" spans="1:5" ht="12.75">
      <c r="A321" s="6" t="str">
        <f>HYPERLINK(SUBSTITUTE(T(hl_0),"{0}","900327468034115"),hn_0)</f>
        <v>ОВ</v>
      </c>
      <c r="B321" s="7" t="s">
        <v>67</v>
      </c>
      <c r="C321" s="8">
        <v>5000</v>
      </c>
      <c r="D321" s="7" t="s">
        <v>85</v>
      </c>
      <c r="E321" s="7" t="s">
        <v>20</v>
      </c>
    </row>
    <row r="322" spans="1:5" ht="12.75">
      <c r="A322" s="6" t="str">
        <f>HYPERLINK(SUBSTITUTE(T(hl_0),"{0}","900327468034115"),hn_0)</f>
        <v>ОВ</v>
      </c>
      <c r="B322" s="7" t="s">
        <v>67</v>
      </c>
      <c r="C322" s="8">
        <v>5000</v>
      </c>
      <c r="D322" s="7" t="s">
        <v>85</v>
      </c>
      <c r="E322" s="7" t="s">
        <v>20</v>
      </c>
    </row>
    <row r="323" spans="1:5" ht="12.75">
      <c r="A323" s="6" t="str">
        <f>HYPERLINK(SUBSTITUTE(T(hl_0),"{0}","900327598751194"),hn_0)</f>
        <v>ОВ</v>
      </c>
      <c r="B323" s="7" t="s">
        <v>67</v>
      </c>
      <c r="C323" s="8">
        <v>5000</v>
      </c>
      <c r="D323" s="7" t="s">
        <v>104</v>
      </c>
      <c r="E323" s="7" t="s">
        <v>20</v>
      </c>
    </row>
    <row r="324" spans="1:5" ht="12.75">
      <c r="A324" s="6" t="str">
        <f>HYPERLINK(SUBSTITUTE(T(hl_0),"{0}","900327598751194"),hn_0)</f>
        <v>ОВ</v>
      </c>
      <c r="B324" s="7" t="s">
        <v>67</v>
      </c>
      <c r="C324" s="8">
        <v>5000</v>
      </c>
      <c r="D324" s="7" t="s">
        <v>104</v>
      </c>
      <c r="E324" s="7" t="s">
        <v>20</v>
      </c>
    </row>
    <row r="325" spans="1:5" ht="12.75">
      <c r="A325" s="6" t="str">
        <f>HYPERLINK(SUBSTITUTE(T(hl_0),"{0}","900327467731397"),hn_0)</f>
        <v>ОВ</v>
      </c>
      <c r="B325" s="7" t="s">
        <v>67</v>
      </c>
      <c r="C325" s="8">
        <v>5000</v>
      </c>
      <c r="D325" s="7" t="s">
        <v>124</v>
      </c>
      <c r="E325" s="7" t="s">
        <v>20</v>
      </c>
    </row>
    <row r="326" spans="1:5" ht="12.75">
      <c r="A326" s="6" t="str">
        <f>HYPERLINK(SUBSTITUTE(T(hl_0),"{0}","900327467731397"),hn_0)</f>
        <v>ОВ</v>
      </c>
      <c r="B326" s="7" t="s">
        <v>67</v>
      </c>
      <c r="C326" s="8">
        <v>5000</v>
      </c>
      <c r="D326" s="7" t="s">
        <v>124</v>
      </c>
      <c r="E326" s="7" t="s">
        <v>20</v>
      </c>
    </row>
    <row r="327" spans="1:5" ht="12.75">
      <c r="A327" s="6" t="str">
        <f>HYPERLINK(SUBSTITUTE(T(hl_0),"{0}","900327534836656"),hn_0)</f>
        <v>ОВ</v>
      </c>
      <c r="B327" s="7" t="s">
        <v>67</v>
      </c>
      <c r="C327" s="8">
        <v>5000</v>
      </c>
      <c r="D327" s="7" t="s">
        <v>116</v>
      </c>
      <c r="E327" s="7" t="s">
        <v>20</v>
      </c>
    </row>
    <row r="328" spans="1:5" ht="12.75">
      <c r="A328" s="6" t="str">
        <f>HYPERLINK(SUBSTITUTE(T(hl_0),"{0}","900327534836656"),hn_0)</f>
        <v>ОВ</v>
      </c>
      <c r="B328" s="7" t="s">
        <v>67</v>
      </c>
      <c r="C328" s="8">
        <v>5000</v>
      </c>
      <c r="D328" s="7" t="s">
        <v>116</v>
      </c>
      <c r="E328" s="7" t="s">
        <v>20</v>
      </c>
    </row>
    <row r="329" spans="1:5" ht="12.75">
      <c r="A329" s="6" t="str">
        <f>HYPERLINK(SUBSTITUTE(T(hl_0),"{0}","900327361007541"),hn_0)</f>
        <v>ОВ</v>
      </c>
      <c r="B329" s="7" t="s">
        <v>67</v>
      </c>
      <c r="C329" s="8">
        <v>5000</v>
      </c>
      <c r="D329" s="7" t="s">
        <v>109</v>
      </c>
      <c r="E329" s="7" t="s">
        <v>20</v>
      </c>
    </row>
    <row r="330" spans="1:5" ht="12.75">
      <c r="A330" s="6" t="str">
        <f>HYPERLINK(SUBSTITUTE(T(hl_0),"{0}","900327361007541"),hn_0)</f>
        <v>ОВ</v>
      </c>
      <c r="B330" s="7" t="s">
        <v>67</v>
      </c>
      <c r="C330" s="8">
        <v>5000</v>
      </c>
      <c r="D330" s="7" t="s">
        <v>109</v>
      </c>
      <c r="E330" s="7" t="s">
        <v>20</v>
      </c>
    </row>
    <row r="331" spans="1:5" ht="12.75">
      <c r="A331" s="6" t="str">
        <f>HYPERLINK(SUBSTITUTE(T(hl_0),"{0}","900327535730573"),hn_0)</f>
        <v>ОВ</v>
      </c>
      <c r="B331" s="7" t="s">
        <v>67</v>
      </c>
      <c r="C331" s="8">
        <v>5000</v>
      </c>
      <c r="D331" s="7" t="s">
        <v>125</v>
      </c>
      <c r="E331" s="7" t="s">
        <v>20</v>
      </c>
    </row>
    <row r="332" spans="1:5" ht="12.75">
      <c r="A332" s="6" t="str">
        <f>HYPERLINK(SUBSTITUTE(T(hl_0),"{0}","900327535730573"),hn_0)</f>
        <v>ОВ</v>
      </c>
      <c r="B332" s="7" t="s">
        <v>67</v>
      </c>
      <c r="C332" s="8">
        <v>5000</v>
      </c>
      <c r="D332" s="7" t="s">
        <v>125</v>
      </c>
      <c r="E332" s="7" t="s">
        <v>20</v>
      </c>
    </row>
    <row r="333" spans="1:5" ht="12.75">
      <c r="A333" s="6" t="str">
        <f>HYPERLINK(SUBSTITUTE(T(hl_0),"{0}","900327468003959"),hn_0)</f>
        <v>ОВ</v>
      </c>
      <c r="B333" s="7" t="s">
        <v>67</v>
      </c>
      <c r="C333" s="8">
        <v>5000</v>
      </c>
      <c r="D333" s="7" t="s">
        <v>126</v>
      </c>
      <c r="E333" s="7" t="s">
        <v>20</v>
      </c>
    </row>
    <row r="334" spans="1:5" ht="12.75">
      <c r="A334" s="6" t="str">
        <f>HYPERLINK(SUBSTITUTE(T(hl_0),"{0}","900327468003959"),hn_0)</f>
        <v>ОВ</v>
      </c>
      <c r="B334" s="7" t="s">
        <v>67</v>
      </c>
      <c r="C334" s="8">
        <v>5000</v>
      </c>
      <c r="D334" s="7" t="s">
        <v>126</v>
      </c>
      <c r="E334" s="7" t="s">
        <v>20</v>
      </c>
    </row>
    <row r="335" spans="1:5" ht="12.75">
      <c r="A335" s="6" t="str">
        <f>HYPERLINK(SUBSTITUTE(T(hl_0),"{0}","900327513373404"),hn_0)</f>
        <v>ОВ</v>
      </c>
      <c r="B335" s="7" t="s">
        <v>67</v>
      </c>
      <c r="C335" s="8">
        <v>5000</v>
      </c>
      <c r="D335" s="7" t="s">
        <v>101</v>
      </c>
      <c r="E335" s="7" t="s">
        <v>20</v>
      </c>
    </row>
    <row r="336" spans="1:5" ht="12.75">
      <c r="A336" s="6" t="str">
        <f>HYPERLINK(SUBSTITUTE(T(hl_0),"{0}","900327513373404"),hn_0)</f>
        <v>ОВ</v>
      </c>
      <c r="B336" s="7" t="s">
        <v>67</v>
      </c>
      <c r="C336" s="8">
        <v>5000</v>
      </c>
      <c r="D336" s="7" t="s">
        <v>101</v>
      </c>
      <c r="E336" s="7" t="s">
        <v>20</v>
      </c>
    </row>
    <row r="337" spans="1:5" ht="12.75">
      <c r="A337" s="6" t="str">
        <f>HYPERLINK(SUBSTITUTE(T(hl_0),"{0}","900327359450093"),hn_0)</f>
        <v>ОВ</v>
      </c>
      <c r="B337" s="7" t="s">
        <v>67</v>
      </c>
      <c r="C337" s="8">
        <v>5000</v>
      </c>
      <c r="D337" s="7" t="s">
        <v>127</v>
      </c>
      <c r="E337" s="7" t="s">
        <v>20</v>
      </c>
    </row>
    <row r="338" spans="1:5" ht="12.75">
      <c r="A338" s="6" t="str">
        <f>HYPERLINK(SUBSTITUTE(T(hl_0),"{0}","900327359450093"),hn_0)</f>
        <v>ОВ</v>
      </c>
      <c r="B338" s="7" t="s">
        <v>67</v>
      </c>
      <c r="C338" s="8">
        <v>5000</v>
      </c>
      <c r="D338" s="7" t="s">
        <v>127</v>
      </c>
      <c r="E338" s="7" t="s">
        <v>20</v>
      </c>
    </row>
    <row r="339" spans="1:5" ht="12.75">
      <c r="A339" s="6" t="str">
        <f>HYPERLINK(SUBSTITUTE(T(hl_0),"{0}","900327535245900"),hn_0)</f>
        <v>ОВ</v>
      </c>
      <c r="B339" s="7" t="s">
        <v>67</v>
      </c>
      <c r="C339" s="8">
        <v>5000</v>
      </c>
      <c r="D339" s="7" t="s">
        <v>128</v>
      </c>
      <c r="E339" s="7" t="s">
        <v>20</v>
      </c>
    </row>
    <row r="340" spans="1:5" ht="12.75">
      <c r="A340" s="6" t="str">
        <f>HYPERLINK(SUBSTITUTE(T(hl_0),"{0}","900327535245900"),hn_0)</f>
        <v>ОВ</v>
      </c>
      <c r="B340" s="7" t="s">
        <v>67</v>
      </c>
      <c r="C340" s="8">
        <v>5000</v>
      </c>
      <c r="D340" s="7" t="s">
        <v>128</v>
      </c>
      <c r="E340" s="7" t="s">
        <v>20</v>
      </c>
    </row>
    <row r="341" spans="1:5" ht="12.75">
      <c r="A341" s="6" t="str">
        <f>HYPERLINK(SUBSTITUTE(T(hl_0),"{0}","900327619138178"),hn_0)</f>
        <v>ОВ</v>
      </c>
      <c r="B341" s="7" t="s">
        <v>67</v>
      </c>
      <c r="C341" s="8">
        <v>5000</v>
      </c>
      <c r="D341" s="7" t="s">
        <v>84</v>
      </c>
      <c r="E341" s="7" t="s">
        <v>20</v>
      </c>
    </row>
    <row r="342" spans="1:5" ht="12.75">
      <c r="A342" s="6" t="str">
        <f>HYPERLINK(SUBSTITUTE(T(hl_0),"{0}","900327619138178"),hn_0)</f>
        <v>ОВ</v>
      </c>
      <c r="B342" s="7" t="s">
        <v>67</v>
      </c>
      <c r="C342" s="8">
        <v>5000</v>
      </c>
      <c r="D342" s="7" t="s">
        <v>84</v>
      </c>
      <c r="E342" s="7" t="s">
        <v>20</v>
      </c>
    </row>
    <row r="343" spans="1:5" ht="12.75">
      <c r="A343" s="6" t="str">
        <f>HYPERLINK(SUBSTITUTE(T(hl_0),"{0}","900327467569253"),hn_0)</f>
        <v>ОВ</v>
      </c>
      <c r="B343" s="7" t="s">
        <v>67</v>
      </c>
      <c r="C343" s="8">
        <v>5000</v>
      </c>
      <c r="D343" s="7" t="s">
        <v>94</v>
      </c>
      <c r="E343" s="7" t="s">
        <v>20</v>
      </c>
    </row>
    <row r="344" spans="1:5" ht="12.75">
      <c r="A344" s="6" t="str">
        <f>HYPERLINK(SUBSTITUTE(T(hl_0),"{0}","900327467569253"),hn_0)</f>
        <v>ОВ</v>
      </c>
      <c r="B344" s="7" t="s">
        <v>67</v>
      </c>
      <c r="C344" s="8">
        <v>5000</v>
      </c>
      <c r="D344" s="7" t="s">
        <v>94</v>
      </c>
      <c r="E344" s="7" t="s">
        <v>20</v>
      </c>
    </row>
    <row r="345" spans="1:5" ht="12.75">
      <c r="A345" s="6" t="str">
        <f>HYPERLINK(SUBSTITUTE(T(hl_0),"{0}","900327486087515"),hn_0)</f>
        <v>ОВ</v>
      </c>
      <c r="B345" s="7" t="s">
        <v>67</v>
      </c>
      <c r="C345" s="8">
        <v>5000</v>
      </c>
      <c r="D345" s="7" t="s">
        <v>94</v>
      </c>
      <c r="E345" s="7" t="s">
        <v>20</v>
      </c>
    </row>
    <row r="346" spans="1:5" ht="12.75">
      <c r="A346" s="6" t="str">
        <f>HYPERLINK(SUBSTITUTE(T(hl_0),"{0}","900327486087515"),hn_0)</f>
        <v>ОВ</v>
      </c>
      <c r="B346" s="7" t="s">
        <v>67</v>
      </c>
      <c r="C346" s="8">
        <v>5000</v>
      </c>
      <c r="D346" s="7" t="s">
        <v>94</v>
      </c>
      <c r="E346" s="7" t="s">
        <v>20</v>
      </c>
    </row>
    <row r="347" spans="1:5" ht="12.75">
      <c r="A347" s="6" t="str">
        <f>HYPERLINK(SUBSTITUTE(T(hl_0),"{0}","900327597519692"),hn_0)</f>
        <v>ОВ</v>
      </c>
      <c r="B347" s="7" t="s">
        <v>67</v>
      </c>
      <c r="C347" s="8">
        <v>5000</v>
      </c>
      <c r="D347" s="7" t="s">
        <v>129</v>
      </c>
      <c r="E347" s="7" t="s">
        <v>20</v>
      </c>
    </row>
    <row r="348" spans="1:5" ht="12.75">
      <c r="A348" s="6" t="str">
        <f>HYPERLINK(SUBSTITUTE(T(hl_0),"{0}","900327597519692"),hn_0)</f>
        <v>ОВ</v>
      </c>
      <c r="B348" s="7" t="s">
        <v>67</v>
      </c>
      <c r="C348" s="8">
        <v>5000</v>
      </c>
      <c r="D348" s="7" t="s">
        <v>129</v>
      </c>
      <c r="E348" s="7" t="s">
        <v>20</v>
      </c>
    </row>
    <row r="349" spans="1:5" ht="12.75">
      <c r="A349" s="6" t="str">
        <f>HYPERLINK(SUBSTITUTE(T(hl_0),"{0}","900327534054415"),hn_0)</f>
        <v>ОВ</v>
      </c>
      <c r="B349" s="7" t="s">
        <v>67</v>
      </c>
      <c r="C349" s="8">
        <v>5000</v>
      </c>
      <c r="D349" s="7" t="s">
        <v>75</v>
      </c>
      <c r="E349" s="7" t="s">
        <v>20</v>
      </c>
    </row>
    <row r="350" spans="1:5" ht="12.75">
      <c r="A350" s="6" t="str">
        <f>HYPERLINK(SUBSTITUTE(T(hl_0),"{0}","900327534054415"),hn_0)</f>
        <v>ОВ</v>
      </c>
      <c r="B350" s="7" t="s">
        <v>67</v>
      </c>
      <c r="C350" s="8">
        <v>5000</v>
      </c>
      <c r="D350" s="7" t="s">
        <v>75</v>
      </c>
      <c r="E350" s="7" t="s">
        <v>20</v>
      </c>
    </row>
    <row r="351" spans="1:5" ht="12.75">
      <c r="A351" s="6" t="str">
        <f>HYPERLINK(SUBSTITUTE(T(hl_0),"{0}","900327536387514"),hn_0)</f>
        <v>ОВ</v>
      </c>
      <c r="B351" s="7" t="s">
        <v>67</v>
      </c>
      <c r="C351" s="8">
        <v>5000</v>
      </c>
      <c r="D351" s="7" t="s">
        <v>113</v>
      </c>
      <c r="E351" s="7" t="s">
        <v>20</v>
      </c>
    </row>
    <row r="352" spans="1:5" ht="12.75">
      <c r="A352" s="6" t="str">
        <f>HYPERLINK(SUBSTITUTE(T(hl_0),"{0}","900327536387514"),hn_0)</f>
        <v>ОВ</v>
      </c>
      <c r="B352" s="7" t="s">
        <v>67</v>
      </c>
      <c r="C352" s="8">
        <v>5000</v>
      </c>
      <c r="D352" s="7" t="s">
        <v>113</v>
      </c>
      <c r="E352" s="7" t="s">
        <v>20</v>
      </c>
    </row>
    <row r="353" spans="1:5" ht="12.75">
      <c r="A353" s="6" t="str">
        <f>HYPERLINK(SUBSTITUTE(T(hl_0),"{0}","900327359851342"),hn_0)</f>
        <v>ОВ</v>
      </c>
      <c r="B353" s="7" t="s">
        <v>67</v>
      </c>
      <c r="C353" s="8">
        <v>5000</v>
      </c>
      <c r="D353" s="7" t="s">
        <v>105</v>
      </c>
      <c r="E353" s="7" t="s">
        <v>20</v>
      </c>
    </row>
    <row r="354" spans="1:5" ht="12.75">
      <c r="A354" s="6" t="str">
        <f>HYPERLINK(SUBSTITUTE(T(hl_0),"{0}","900327359851342"),hn_0)</f>
        <v>ОВ</v>
      </c>
      <c r="B354" s="7" t="s">
        <v>67</v>
      </c>
      <c r="C354" s="8">
        <v>5000</v>
      </c>
      <c r="D354" s="7" t="s">
        <v>105</v>
      </c>
      <c r="E354" s="7" t="s">
        <v>20</v>
      </c>
    </row>
    <row r="355" spans="1:5" ht="12.75">
      <c r="A355" s="6" t="str">
        <f>HYPERLINK(SUBSTITUTE(T(hl_0),"{0}","900327488112116"),hn_0)</f>
        <v>ОВ</v>
      </c>
      <c r="B355" s="7" t="s">
        <v>67</v>
      </c>
      <c r="C355" s="8">
        <v>5000</v>
      </c>
      <c r="D355" s="7" t="s">
        <v>130</v>
      </c>
      <c r="E355" s="7" t="s">
        <v>20</v>
      </c>
    </row>
    <row r="356" spans="1:5" ht="12.75">
      <c r="A356" s="6" t="str">
        <f>HYPERLINK(SUBSTITUTE(T(hl_0),"{0}","900327488112116"),hn_0)</f>
        <v>ОВ</v>
      </c>
      <c r="B356" s="7" t="s">
        <v>67</v>
      </c>
      <c r="C356" s="8">
        <v>5000</v>
      </c>
      <c r="D356" s="7" t="s">
        <v>130</v>
      </c>
      <c r="E356" s="7" t="s">
        <v>20</v>
      </c>
    </row>
    <row r="357" spans="1:5" ht="12.75">
      <c r="A357" s="6" t="str">
        <f>HYPERLINK(SUBSTITUTE(T(hl_0),"{0}","900327619033325"),hn_0)</f>
        <v>ОВ</v>
      </c>
      <c r="B357" s="7" t="s">
        <v>67</v>
      </c>
      <c r="C357" s="8">
        <v>5000</v>
      </c>
      <c r="D357" s="7" t="s">
        <v>131</v>
      </c>
      <c r="E357" s="7" t="s">
        <v>20</v>
      </c>
    </row>
    <row r="358" spans="1:5" ht="12.75">
      <c r="A358" s="6" t="str">
        <f>HYPERLINK(SUBSTITUTE(T(hl_0),"{0}","900327619033325"),hn_0)</f>
        <v>ОВ</v>
      </c>
      <c r="B358" s="7" t="s">
        <v>67</v>
      </c>
      <c r="C358" s="8">
        <v>5000</v>
      </c>
      <c r="D358" s="7" t="s">
        <v>131</v>
      </c>
      <c r="E358" s="7" t="s">
        <v>20</v>
      </c>
    </row>
    <row r="359" spans="1:5" ht="12.75">
      <c r="A359" s="6" t="str">
        <f>HYPERLINK(SUBSTITUTE(T(hl_0),"{0}","900327362421073"),hn_0)</f>
        <v>ОВ</v>
      </c>
      <c r="B359" s="7" t="s">
        <v>67</v>
      </c>
      <c r="C359" s="8">
        <v>5000</v>
      </c>
      <c r="D359" s="7" t="s">
        <v>132</v>
      </c>
      <c r="E359" s="7" t="s">
        <v>20</v>
      </c>
    </row>
    <row r="360" spans="1:5" ht="12.75">
      <c r="A360" s="6" t="str">
        <f>HYPERLINK(SUBSTITUTE(T(hl_0),"{0}","900327362421073"),hn_0)</f>
        <v>ОВ</v>
      </c>
      <c r="B360" s="7" t="s">
        <v>67</v>
      </c>
      <c r="C360" s="8">
        <v>5000</v>
      </c>
      <c r="D360" s="7" t="s">
        <v>132</v>
      </c>
      <c r="E360" s="7" t="s">
        <v>20</v>
      </c>
    </row>
    <row r="361" spans="1:5" ht="12.75">
      <c r="A361" s="6" t="str">
        <f>HYPERLINK(SUBSTITUTE(T(hl_0),"{0}","900327598715176"),hn_0)</f>
        <v>ОВ</v>
      </c>
      <c r="B361" s="7" t="s">
        <v>67</v>
      </c>
      <c r="C361" s="8">
        <v>5000</v>
      </c>
      <c r="D361" s="7" t="s">
        <v>133</v>
      </c>
      <c r="E361" s="7" t="s">
        <v>20</v>
      </c>
    </row>
    <row r="362" spans="1:5" ht="12.75">
      <c r="A362" s="6" t="str">
        <f>HYPERLINK(SUBSTITUTE(T(hl_0),"{0}","900327598715176"),hn_0)</f>
        <v>ОВ</v>
      </c>
      <c r="B362" s="7" t="s">
        <v>67</v>
      </c>
      <c r="C362" s="8">
        <v>5000</v>
      </c>
      <c r="D362" s="7" t="s">
        <v>133</v>
      </c>
      <c r="E362" s="7" t="s">
        <v>20</v>
      </c>
    </row>
    <row r="363" spans="1:5" ht="12.75">
      <c r="A363" s="6" t="str">
        <f>HYPERLINK(SUBSTITUTE(T(hl_0),"{0}","900327486087524"),hn_0)</f>
        <v>ОВ</v>
      </c>
      <c r="B363" s="7" t="s">
        <v>67</v>
      </c>
      <c r="C363" s="8">
        <v>5000</v>
      </c>
      <c r="D363" s="7" t="s">
        <v>94</v>
      </c>
      <c r="E363" s="7" t="s">
        <v>20</v>
      </c>
    </row>
    <row r="364" spans="1:5" ht="12.75">
      <c r="A364" s="6" t="str">
        <f>HYPERLINK(SUBSTITUTE(T(hl_0),"{0}","900327486087524"),hn_0)</f>
        <v>ОВ</v>
      </c>
      <c r="B364" s="7" t="s">
        <v>67</v>
      </c>
      <c r="C364" s="8">
        <v>5000</v>
      </c>
      <c r="D364" s="7" t="s">
        <v>94</v>
      </c>
      <c r="E364" s="7" t="s">
        <v>20</v>
      </c>
    </row>
    <row r="365" spans="1:5" ht="12.75">
      <c r="A365" s="6" t="str">
        <f>HYPERLINK(SUBSTITUTE(T(hl_0),"{0}","900327486087533"),hn_0)</f>
        <v>ОВ</v>
      </c>
      <c r="B365" s="7" t="s">
        <v>67</v>
      </c>
      <c r="C365" s="8">
        <v>5000</v>
      </c>
      <c r="D365" s="7" t="s">
        <v>94</v>
      </c>
      <c r="E365" s="7" t="s">
        <v>20</v>
      </c>
    </row>
    <row r="366" spans="1:5" ht="12.75">
      <c r="A366" s="6" t="str">
        <f>HYPERLINK(SUBSTITUTE(T(hl_0),"{0}","900327486087533"),hn_0)</f>
        <v>ОВ</v>
      </c>
      <c r="B366" s="7" t="s">
        <v>67</v>
      </c>
      <c r="C366" s="8">
        <v>5000</v>
      </c>
      <c r="D366" s="7" t="s">
        <v>94</v>
      </c>
      <c r="E366" s="7" t="s">
        <v>20</v>
      </c>
    </row>
    <row r="367" spans="1:5" ht="12.75">
      <c r="A367" s="6" t="str">
        <f>HYPERLINK(SUBSTITUTE(T(hl_0),"{0}","900327486087542"),hn_0)</f>
        <v>ОВ</v>
      </c>
      <c r="B367" s="7" t="s">
        <v>67</v>
      </c>
      <c r="C367" s="8">
        <v>5000</v>
      </c>
      <c r="D367" s="7" t="s">
        <v>94</v>
      </c>
      <c r="E367" s="7" t="s">
        <v>20</v>
      </c>
    </row>
    <row r="368" spans="1:5" ht="12.75">
      <c r="A368" s="6" t="str">
        <f>HYPERLINK(SUBSTITUTE(T(hl_0),"{0}","900327486087542"),hn_0)</f>
        <v>ОВ</v>
      </c>
      <c r="B368" s="7" t="s">
        <v>67</v>
      </c>
      <c r="C368" s="8">
        <v>5000</v>
      </c>
      <c r="D368" s="7" t="s">
        <v>94</v>
      </c>
      <c r="E368" s="7" t="s">
        <v>20</v>
      </c>
    </row>
    <row r="369" spans="1:5" ht="12.75">
      <c r="A369" s="6" t="str">
        <f>HYPERLINK(SUBSTITUTE(T(hl_0),"{0}","900327486087551"),hn_0)</f>
        <v>ОВ</v>
      </c>
      <c r="B369" s="7" t="s">
        <v>67</v>
      </c>
      <c r="C369" s="8">
        <v>5000</v>
      </c>
      <c r="D369" s="7" t="s">
        <v>94</v>
      </c>
      <c r="E369" s="7" t="s">
        <v>20</v>
      </c>
    </row>
    <row r="370" spans="1:5" ht="12.75">
      <c r="A370" s="6" t="str">
        <f>HYPERLINK(SUBSTITUTE(T(hl_0),"{0}","900327486087551"),hn_0)</f>
        <v>ОВ</v>
      </c>
      <c r="B370" s="7" t="s">
        <v>67</v>
      </c>
      <c r="C370" s="8">
        <v>5000</v>
      </c>
      <c r="D370" s="7" t="s">
        <v>94</v>
      </c>
      <c r="E370" s="7" t="s">
        <v>20</v>
      </c>
    </row>
    <row r="371" spans="1:5" ht="12.75">
      <c r="A371" s="6" t="str">
        <f>HYPERLINK(SUBSTITUTE(T(hl_0),"{0}","900327619094089"),hn_0)</f>
        <v>ОВ</v>
      </c>
      <c r="B371" s="7" t="s">
        <v>67</v>
      </c>
      <c r="C371" s="8">
        <v>5000</v>
      </c>
      <c r="D371" s="7" t="s">
        <v>134</v>
      </c>
      <c r="E371" s="7" t="s">
        <v>20</v>
      </c>
    </row>
    <row r="372" spans="1:5" ht="12.75">
      <c r="A372" s="6" t="str">
        <f>HYPERLINK(SUBSTITUTE(T(hl_0),"{0}","900327619094089"),hn_0)</f>
        <v>ОВ</v>
      </c>
      <c r="B372" s="7" t="s">
        <v>67</v>
      </c>
      <c r="C372" s="8">
        <v>5000</v>
      </c>
      <c r="D372" s="7" t="s">
        <v>134</v>
      </c>
      <c r="E372" s="7" t="s">
        <v>20</v>
      </c>
    </row>
    <row r="373" spans="1:5" ht="12.75">
      <c r="A373" s="6" t="str">
        <f>HYPERLINK(SUBSTITUTE(T(hl_0),"{0}","900327362082603"),hn_0)</f>
        <v>ОВ</v>
      </c>
      <c r="B373" s="7" t="s">
        <v>67</v>
      </c>
      <c r="C373" s="8">
        <v>5000</v>
      </c>
      <c r="D373" s="7" t="s">
        <v>135</v>
      </c>
      <c r="E373" s="7" t="s">
        <v>20</v>
      </c>
    </row>
    <row r="374" spans="1:5" ht="12.75">
      <c r="A374" s="6" t="str">
        <f>HYPERLINK(SUBSTITUTE(T(hl_0),"{0}","900327362082603"),hn_0)</f>
        <v>ОВ</v>
      </c>
      <c r="B374" s="7" t="s">
        <v>67</v>
      </c>
      <c r="C374" s="8">
        <v>5000</v>
      </c>
      <c r="D374" s="7" t="s">
        <v>135</v>
      </c>
      <c r="E374" s="7" t="s">
        <v>20</v>
      </c>
    </row>
    <row r="375" spans="1:5" ht="12.75">
      <c r="A375" s="6" t="str">
        <f>HYPERLINK(SUBSTITUTE(T(hl_0),"{0}","900327598821339"),hn_0)</f>
        <v>ОВ</v>
      </c>
      <c r="B375" s="7" t="s">
        <v>67</v>
      </c>
      <c r="C375" s="8">
        <v>5000</v>
      </c>
      <c r="D375" s="7" t="s">
        <v>92</v>
      </c>
      <c r="E375" s="7" t="s">
        <v>20</v>
      </c>
    </row>
    <row r="376" spans="1:5" ht="12.75">
      <c r="A376" s="6" t="str">
        <f>HYPERLINK(SUBSTITUTE(T(hl_0),"{0}","900327598821339"),hn_0)</f>
        <v>ОВ</v>
      </c>
      <c r="B376" s="7" t="s">
        <v>67</v>
      </c>
      <c r="C376" s="8">
        <v>5000</v>
      </c>
      <c r="D376" s="7" t="s">
        <v>92</v>
      </c>
      <c r="E376" s="7" t="s">
        <v>20</v>
      </c>
    </row>
    <row r="377" spans="1:5" ht="12.75">
      <c r="A377" s="6" t="str">
        <f>HYPERLINK(SUBSTITUTE(T(hl_0),"{0}","900327535937122"),hn_0)</f>
        <v>ОВ</v>
      </c>
      <c r="B377" s="7" t="s">
        <v>67</v>
      </c>
      <c r="C377" s="8">
        <v>5000</v>
      </c>
      <c r="D377" s="7" t="s">
        <v>136</v>
      </c>
      <c r="E377" s="7" t="s">
        <v>20</v>
      </c>
    </row>
    <row r="378" spans="1:5" ht="12.75">
      <c r="A378" s="6" t="str">
        <f>HYPERLINK(SUBSTITUTE(T(hl_0),"{0}","900327535937122"),hn_0)</f>
        <v>ОВ</v>
      </c>
      <c r="B378" s="7" t="s">
        <v>67</v>
      </c>
      <c r="C378" s="8">
        <v>5000</v>
      </c>
      <c r="D378" s="7" t="s">
        <v>136</v>
      </c>
      <c r="E378" s="7" t="s">
        <v>20</v>
      </c>
    </row>
    <row r="379" spans="1:5" ht="12.75">
      <c r="A379" s="6" t="str">
        <f>HYPERLINK(SUBSTITUTE(T(hl_0),"{0}","900327488159333"),hn_0)</f>
        <v>ОВ</v>
      </c>
      <c r="B379" s="7" t="s">
        <v>67</v>
      </c>
      <c r="C379" s="8">
        <v>5000</v>
      </c>
      <c r="D379" s="7" t="s">
        <v>137</v>
      </c>
      <c r="E379" s="7" t="s">
        <v>20</v>
      </c>
    </row>
    <row r="380" spans="1:5" ht="12.75">
      <c r="A380" s="6" t="str">
        <f>HYPERLINK(SUBSTITUTE(T(hl_0),"{0}","900327488159333"),hn_0)</f>
        <v>ОВ</v>
      </c>
      <c r="B380" s="7" t="s">
        <v>67</v>
      </c>
      <c r="C380" s="8">
        <v>5000</v>
      </c>
      <c r="D380" s="7" t="s">
        <v>137</v>
      </c>
      <c r="E380" s="7" t="s">
        <v>20</v>
      </c>
    </row>
    <row r="381" spans="1:5" ht="12.75">
      <c r="A381" s="6" t="str">
        <f>HYPERLINK(SUBSTITUTE(T(hl_0),"{0}","900327487431408"),hn_0)</f>
        <v>ОВ</v>
      </c>
      <c r="B381" s="7" t="s">
        <v>67</v>
      </c>
      <c r="C381" s="8">
        <v>5000</v>
      </c>
      <c r="D381" s="7" t="s">
        <v>126</v>
      </c>
      <c r="E381" s="7" t="s">
        <v>20</v>
      </c>
    </row>
    <row r="382" spans="1:5" ht="12.75">
      <c r="A382" s="6" t="str">
        <f>HYPERLINK(SUBSTITUTE(T(hl_0),"{0}","900327487431408"),hn_0)</f>
        <v>ОВ</v>
      </c>
      <c r="B382" s="7" t="s">
        <v>67</v>
      </c>
      <c r="C382" s="8">
        <v>5000</v>
      </c>
      <c r="D382" s="7" t="s">
        <v>126</v>
      </c>
      <c r="E382" s="7" t="s">
        <v>20</v>
      </c>
    </row>
    <row r="383" spans="1:5" ht="12.75">
      <c r="A383" s="6" t="str">
        <f>HYPERLINK(SUBSTITUTE(T(hl_0),"{0}","900327598792197"),hn_0)</f>
        <v>ОВ</v>
      </c>
      <c r="B383" s="7" t="s">
        <v>67</v>
      </c>
      <c r="C383" s="8">
        <v>5000</v>
      </c>
      <c r="D383" s="7" t="s">
        <v>133</v>
      </c>
      <c r="E383" s="7" t="s">
        <v>20</v>
      </c>
    </row>
    <row r="384" spans="1:5" ht="12.75">
      <c r="A384" s="6" t="str">
        <f>HYPERLINK(SUBSTITUTE(T(hl_0),"{0}","900327598792197"),hn_0)</f>
        <v>ОВ</v>
      </c>
      <c r="B384" s="7" t="s">
        <v>67</v>
      </c>
      <c r="C384" s="8">
        <v>5000</v>
      </c>
      <c r="D384" s="7" t="s">
        <v>133</v>
      </c>
      <c r="E384" s="7" t="s">
        <v>20</v>
      </c>
    </row>
    <row r="385" spans="1:5" ht="12.75">
      <c r="A385" s="6" t="str">
        <f>HYPERLINK(SUBSTITUTE(T(hl_0),"{0}","900327598814483"),hn_0)</f>
        <v>ОВ</v>
      </c>
      <c r="B385" s="7" t="s">
        <v>67</v>
      </c>
      <c r="C385" s="8">
        <v>5000</v>
      </c>
      <c r="D385" s="7" t="s">
        <v>92</v>
      </c>
      <c r="E385" s="7" t="s">
        <v>20</v>
      </c>
    </row>
    <row r="386" spans="1:5" ht="12.75">
      <c r="A386" s="6" t="str">
        <f>HYPERLINK(SUBSTITUTE(T(hl_0),"{0}","900327598814483"),hn_0)</f>
        <v>ОВ</v>
      </c>
      <c r="B386" s="7" t="s">
        <v>67</v>
      </c>
      <c r="C386" s="8">
        <v>5000</v>
      </c>
      <c r="D386" s="7" t="s">
        <v>92</v>
      </c>
      <c r="E386" s="7" t="s">
        <v>20</v>
      </c>
    </row>
    <row r="387" spans="1:5" ht="12.75">
      <c r="A387" s="6" t="str">
        <f>HYPERLINK(SUBSTITUTE(T(hl_0),"{0}","900327619043016"),hn_0)</f>
        <v>ОВ</v>
      </c>
      <c r="B387" s="7" t="s">
        <v>67</v>
      </c>
      <c r="C387" s="8">
        <v>5000</v>
      </c>
      <c r="D387" s="7" t="s">
        <v>138</v>
      </c>
      <c r="E387" s="7" t="s">
        <v>20</v>
      </c>
    </row>
    <row r="388" spans="1:5" ht="12.75">
      <c r="A388" s="6" t="str">
        <f>HYPERLINK(SUBSTITUTE(T(hl_0),"{0}","900327619043016"),hn_0)</f>
        <v>ОВ</v>
      </c>
      <c r="B388" s="7" t="s">
        <v>67</v>
      </c>
      <c r="C388" s="8">
        <v>5000</v>
      </c>
      <c r="D388" s="7" t="s">
        <v>138</v>
      </c>
      <c r="E388" s="7" t="s">
        <v>20</v>
      </c>
    </row>
    <row r="389" spans="1:5" ht="12.75">
      <c r="A389" s="6" t="str">
        <f>HYPERLINK(SUBSTITUTE(T(hl_0),"{0}","900327536360575"),hn_0)</f>
        <v>ОВ</v>
      </c>
      <c r="B389" s="7" t="s">
        <v>67</v>
      </c>
      <c r="C389" s="8">
        <v>5000</v>
      </c>
      <c r="D389" s="7" t="s">
        <v>113</v>
      </c>
      <c r="E389" s="7" t="s">
        <v>20</v>
      </c>
    </row>
    <row r="390" spans="1:5" ht="12.75">
      <c r="A390" s="6" t="str">
        <f>HYPERLINK(SUBSTITUTE(T(hl_0),"{0}","900327536360575"),hn_0)</f>
        <v>ОВ</v>
      </c>
      <c r="B390" s="7" t="s">
        <v>67</v>
      </c>
      <c r="C390" s="8">
        <v>5000</v>
      </c>
      <c r="D390" s="7" t="s">
        <v>113</v>
      </c>
      <c r="E390" s="7" t="s">
        <v>20</v>
      </c>
    </row>
    <row r="391" spans="1:5" ht="12.75">
      <c r="A391" s="6" t="str">
        <f>HYPERLINK(SUBSTITUTE(T(hl_0),"{0}","900327597876291"),hn_0)</f>
        <v>ОВ</v>
      </c>
      <c r="B391" s="7" t="s">
        <v>67</v>
      </c>
      <c r="C391" s="8">
        <v>5000</v>
      </c>
      <c r="D391" s="7" t="s">
        <v>106</v>
      </c>
      <c r="E391" s="7" t="s">
        <v>20</v>
      </c>
    </row>
    <row r="392" spans="1:5" ht="12.75">
      <c r="A392" s="6" t="str">
        <f>HYPERLINK(SUBSTITUTE(T(hl_0),"{0}","900327597876291"),hn_0)</f>
        <v>ОВ</v>
      </c>
      <c r="B392" s="7" t="s">
        <v>67</v>
      </c>
      <c r="C392" s="8">
        <v>5000</v>
      </c>
      <c r="D392" s="7" t="s">
        <v>106</v>
      </c>
      <c r="E392" s="7" t="s">
        <v>20</v>
      </c>
    </row>
    <row r="393" spans="1:5" ht="12.75">
      <c r="A393" s="6" t="str">
        <f>HYPERLINK(SUBSTITUTE(T(hl_0),"{0}","900327597638880"),hn_0)</f>
        <v>ОВ</v>
      </c>
      <c r="B393" s="7" t="s">
        <v>67</v>
      </c>
      <c r="C393" s="8">
        <v>5000</v>
      </c>
      <c r="D393" s="7" t="s">
        <v>91</v>
      </c>
      <c r="E393" s="7" t="s">
        <v>20</v>
      </c>
    </row>
    <row r="394" spans="1:5" ht="12.75">
      <c r="A394" s="6" t="str">
        <f>HYPERLINK(SUBSTITUTE(T(hl_0),"{0}","900327597638880"),hn_0)</f>
        <v>ОВ</v>
      </c>
      <c r="B394" s="7" t="s">
        <v>67</v>
      </c>
      <c r="C394" s="8">
        <v>5000</v>
      </c>
      <c r="D394" s="7" t="s">
        <v>91</v>
      </c>
      <c r="E394" s="7" t="s">
        <v>20</v>
      </c>
    </row>
    <row r="395" spans="1:5" ht="12.75">
      <c r="A395" s="6" t="str">
        <f>HYPERLINK(SUBSTITUTE(T(hl_0),"{0}","900327595312800"),hn_0)</f>
        <v>ОВ</v>
      </c>
      <c r="B395" s="7" t="s">
        <v>67</v>
      </c>
      <c r="C395" s="8">
        <v>5000</v>
      </c>
      <c r="D395" s="7" t="s">
        <v>139</v>
      </c>
      <c r="E395" s="7" t="s">
        <v>20</v>
      </c>
    </row>
    <row r="396" spans="1:5" ht="12.75">
      <c r="A396" s="6" t="str">
        <f>HYPERLINK(SUBSTITUTE(T(hl_0),"{0}","900327595312800"),hn_0)</f>
        <v>ОВ</v>
      </c>
      <c r="B396" s="7" t="s">
        <v>67</v>
      </c>
      <c r="C396" s="8">
        <v>5000</v>
      </c>
      <c r="D396" s="7" t="s">
        <v>139</v>
      </c>
      <c r="E396" s="7" t="s">
        <v>20</v>
      </c>
    </row>
    <row r="397" spans="1:5" ht="12.75">
      <c r="A397" s="6" t="str">
        <f>HYPERLINK(SUBSTITUTE(T(hl_0),"{0}","900327488606240"),hn_0)</f>
        <v>ОВ</v>
      </c>
      <c r="B397" s="7" t="s">
        <v>67</v>
      </c>
      <c r="C397" s="8">
        <v>5000</v>
      </c>
      <c r="D397" s="7" t="s">
        <v>123</v>
      </c>
      <c r="E397" s="7" t="s">
        <v>20</v>
      </c>
    </row>
    <row r="398" spans="1:5" ht="12.75">
      <c r="A398" s="6" t="str">
        <f>HYPERLINK(SUBSTITUTE(T(hl_0),"{0}","900327488606240"),hn_0)</f>
        <v>ОВ</v>
      </c>
      <c r="B398" s="7" t="s">
        <v>67</v>
      </c>
      <c r="C398" s="8">
        <v>5000</v>
      </c>
      <c r="D398" s="7" t="s">
        <v>123</v>
      </c>
      <c r="E398" s="7" t="s">
        <v>20</v>
      </c>
    </row>
    <row r="399" spans="1:5" ht="12.75">
      <c r="A399" s="6" t="str">
        <f>HYPERLINK(SUBSTITUTE(T(hl_0),"{0}","900327598276583"),hn_0)</f>
        <v>ОВ</v>
      </c>
      <c r="B399" s="7" t="s">
        <v>67</v>
      </c>
      <c r="C399" s="8">
        <v>5000</v>
      </c>
      <c r="D399" s="7" t="s">
        <v>92</v>
      </c>
      <c r="E399" s="7" t="s">
        <v>20</v>
      </c>
    </row>
    <row r="400" spans="1:5" ht="12.75">
      <c r="A400" s="6" t="str">
        <f>HYPERLINK(SUBSTITUTE(T(hl_0),"{0}","900327598276583"),hn_0)</f>
        <v>ОВ</v>
      </c>
      <c r="B400" s="7" t="s">
        <v>67</v>
      </c>
      <c r="C400" s="8">
        <v>5000</v>
      </c>
      <c r="D400" s="7" t="s">
        <v>92</v>
      </c>
      <c r="E400" s="7" t="s">
        <v>20</v>
      </c>
    </row>
    <row r="401" spans="1:5" ht="12.75">
      <c r="A401" s="6" t="str">
        <f>HYPERLINK(SUBSTITUTE(T(hl_0),"{0}","900327536272390"),hn_0)</f>
        <v>ОВ</v>
      </c>
      <c r="B401" s="7" t="s">
        <v>67</v>
      </c>
      <c r="C401" s="8">
        <v>5000</v>
      </c>
      <c r="D401" s="7" t="s">
        <v>136</v>
      </c>
      <c r="E401" s="7" t="s">
        <v>20</v>
      </c>
    </row>
    <row r="402" spans="1:5" ht="12.75">
      <c r="A402" s="6" t="str">
        <f>HYPERLINK(SUBSTITUTE(T(hl_0),"{0}","900327536272390"),hn_0)</f>
        <v>ОВ</v>
      </c>
      <c r="B402" s="7" t="s">
        <v>67</v>
      </c>
      <c r="C402" s="8">
        <v>5000</v>
      </c>
      <c r="D402" s="7" t="s">
        <v>136</v>
      </c>
      <c r="E402" s="7" t="s">
        <v>20</v>
      </c>
    </row>
    <row r="403" spans="1:5" ht="12.75">
      <c r="A403" s="6" t="str">
        <f>HYPERLINK(SUBSTITUTE(T(hl_0),"{0}","900327597300379"),hn_0)</f>
        <v>ОВ</v>
      </c>
      <c r="B403" s="7" t="s">
        <v>67</v>
      </c>
      <c r="C403" s="8">
        <v>5000</v>
      </c>
      <c r="D403" s="7" t="s">
        <v>140</v>
      </c>
      <c r="E403" s="7" t="s">
        <v>20</v>
      </c>
    </row>
    <row r="404" spans="1:5" ht="12.75">
      <c r="A404" s="6" t="str">
        <f>HYPERLINK(SUBSTITUTE(T(hl_0),"{0}","900327597300379"),hn_0)</f>
        <v>ОВ</v>
      </c>
      <c r="B404" s="7" t="s">
        <v>67</v>
      </c>
      <c r="C404" s="8">
        <v>5000</v>
      </c>
      <c r="D404" s="7" t="s">
        <v>140</v>
      </c>
      <c r="E404" s="7" t="s">
        <v>20</v>
      </c>
    </row>
    <row r="405" spans="1:5" ht="12.75">
      <c r="A405" s="6" t="str">
        <f>HYPERLINK(SUBSTITUTE(T(hl_0),"{0}","900327598073200"),hn_0)</f>
        <v>ОВ</v>
      </c>
      <c r="B405" s="7" t="s">
        <v>67</v>
      </c>
      <c r="C405" s="8">
        <v>5000</v>
      </c>
      <c r="D405" s="7" t="s">
        <v>133</v>
      </c>
      <c r="E405" s="7" t="s">
        <v>20</v>
      </c>
    </row>
    <row r="406" spans="1:5" ht="12.75">
      <c r="A406" s="6" t="str">
        <f>HYPERLINK(SUBSTITUTE(T(hl_0),"{0}","900327598073200"),hn_0)</f>
        <v>ОВ</v>
      </c>
      <c r="B406" s="7" t="s">
        <v>67</v>
      </c>
      <c r="C406" s="8">
        <v>5000</v>
      </c>
      <c r="D406" s="7" t="s">
        <v>133</v>
      </c>
      <c r="E406" s="7" t="s">
        <v>20</v>
      </c>
    </row>
    <row r="407" spans="1:5" ht="12.75">
      <c r="A407" s="6" t="str">
        <f>HYPERLINK(SUBSTITUTE(T(hl_0),"{0}","900327598558658"),hn_0)</f>
        <v>ОВ</v>
      </c>
      <c r="B407" s="7" t="s">
        <v>67</v>
      </c>
      <c r="C407" s="8">
        <v>5000</v>
      </c>
      <c r="D407" s="7" t="s">
        <v>81</v>
      </c>
      <c r="E407" s="7" t="s">
        <v>20</v>
      </c>
    </row>
    <row r="408" spans="1:5" ht="12.75">
      <c r="A408" s="6" t="str">
        <f>HYPERLINK(SUBSTITUTE(T(hl_0),"{0}","900327598558658"),hn_0)</f>
        <v>ОВ</v>
      </c>
      <c r="B408" s="7" t="s">
        <v>67</v>
      </c>
      <c r="C408" s="8">
        <v>5000</v>
      </c>
      <c r="D408" s="7" t="s">
        <v>81</v>
      </c>
      <c r="E408" s="7" t="s">
        <v>20</v>
      </c>
    </row>
    <row r="409" spans="1:5" ht="12.75">
      <c r="A409" s="6" t="str">
        <f>HYPERLINK(SUBSTITUTE(T(hl_0),"{0}","900327598168032"),hn_0)</f>
        <v>ОВ</v>
      </c>
      <c r="B409" s="7" t="s">
        <v>67</v>
      </c>
      <c r="C409" s="8">
        <v>5000</v>
      </c>
      <c r="D409" s="7" t="s">
        <v>81</v>
      </c>
      <c r="E409" s="7" t="s">
        <v>20</v>
      </c>
    </row>
    <row r="410" spans="1:5" ht="12.75">
      <c r="A410" s="6" t="str">
        <f>HYPERLINK(SUBSTITUTE(T(hl_0),"{0}","900327598168032"),hn_0)</f>
        <v>ОВ</v>
      </c>
      <c r="B410" s="7" t="s">
        <v>67</v>
      </c>
      <c r="C410" s="8">
        <v>5000</v>
      </c>
      <c r="D410" s="7" t="s">
        <v>81</v>
      </c>
      <c r="E410" s="7" t="s">
        <v>20</v>
      </c>
    </row>
    <row r="411" spans="1:5" ht="12.75">
      <c r="A411" s="6" t="str">
        <f>HYPERLINK(SUBSTITUTE(T(hl_0),"{0}","900327468019629"),hn_0)</f>
        <v>ОВ</v>
      </c>
      <c r="B411" s="7" t="s">
        <v>67</v>
      </c>
      <c r="C411" s="8">
        <v>5000</v>
      </c>
      <c r="D411" s="7" t="s">
        <v>141</v>
      </c>
      <c r="E411" s="7" t="s">
        <v>20</v>
      </c>
    </row>
    <row r="412" spans="1:5" ht="12.75">
      <c r="A412" s="6" t="str">
        <f>HYPERLINK(SUBSTITUTE(T(hl_0),"{0}","900327468019629"),hn_0)</f>
        <v>ОВ</v>
      </c>
      <c r="B412" s="7" t="s">
        <v>67</v>
      </c>
      <c r="C412" s="8">
        <v>5000</v>
      </c>
      <c r="D412" s="7" t="s">
        <v>141</v>
      </c>
      <c r="E412" s="7" t="s">
        <v>20</v>
      </c>
    </row>
    <row r="413" spans="1:5" ht="12.75">
      <c r="A413" s="6" t="str">
        <f>HYPERLINK(SUBSTITUTE(T(hl_0),"{0}","900327598057980"),hn_0)</f>
        <v>ОВ</v>
      </c>
      <c r="B413" s="7" t="s">
        <v>67</v>
      </c>
      <c r="C413" s="8">
        <v>5000</v>
      </c>
      <c r="D413" s="7" t="s">
        <v>133</v>
      </c>
      <c r="E413" s="7" t="s">
        <v>20</v>
      </c>
    </row>
    <row r="414" spans="1:5" ht="12.75">
      <c r="A414" s="6" t="str">
        <f>HYPERLINK(SUBSTITUTE(T(hl_0),"{0}","900327598057980"),hn_0)</f>
        <v>ОВ</v>
      </c>
      <c r="B414" s="7" t="s">
        <v>67</v>
      </c>
      <c r="C414" s="8">
        <v>5000</v>
      </c>
      <c r="D414" s="7" t="s">
        <v>133</v>
      </c>
      <c r="E414" s="7" t="s">
        <v>20</v>
      </c>
    </row>
    <row r="415" spans="1:5" ht="12.75">
      <c r="A415" s="6" t="str">
        <f>HYPERLINK(SUBSTITUTE(T(hl_0),"{0}","900327513172881"),hn_0)</f>
        <v>ОВ</v>
      </c>
      <c r="B415" s="7" t="s">
        <v>67</v>
      </c>
      <c r="C415" s="8">
        <v>5000</v>
      </c>
      <c r="D415" s="7" t="s">
        <v>102</v>
      </c>
      <c r="E415" s="7" t="s">
        <v>20</v>
      </c>
    </row>
    <row r="416" spans="1:5" ht="12.75">
      <c r="A416" s="6" t="str">
        <f>HYPERLINK(SUBSTITUTE(T(hl_0),"{0}","900327513172881"),hn_0)</f>
        <v>ОВ</v>
      </c>
      <c r="B416" s="7" t="s">
        <v>67</v>
      </c>
      <c r="C416" s="8">
        <v>5000</v>
      </c>
      <c r="D416" s="7" t="s">
        <v>102</v>
      </c>
      <c r="E416" s="7" t="s">
        <v>20</v>
      </c>
    </row>
    <row r="417" spans="1:5" ht="12.75">
      <c r="A417" s="6" t="str">
        <f>HYPERLINK(SUBSTITUTE(T(hl_0),"{0}","900327598576991"),hn_0)</f>
        <v>ОВ</v>
      </c>
      <c r="B417" s="7" t="s">
        <v>67</v>
      </c>
      <c r="C417" s="8">
        <v>5000</v>
      </c>
      <c r="D417" s="7" t="s">
        <v>106</v>
      </c>
      <c r="E417" s="7" t="s">
        <v>20</v>
      </c>
    </row>
    <row r="418" spans="1:5" ht="12.75">
      <c r="A418" s="6" t="str">
        <f>HYPERLINK(SUBSTITUTE(T(hl_0),"{0}","900327598576991"),hn_0)</f>
        <v>ОВ</v>
      </c>
      <c r="B418" s="7" t="s">
        <v>67</v>
      </c>
      <c r="C418" s="8">
        <v>5000</v>
      </c>
      <c r="D418" s="7" t="s">
        <v>106</v>
      </c>
      <c r="E418" s="7" t="s">
        <v>20</v>
      </c>
    </row>
    <row r="419" spans="1:5" ht="12.75">
      <c r="A419" s="6" t="str">
        <f>HYPERLINK(SUBSTITUTE(T(hl_0),"{0}","900327468028285"),hn_0)</f>
        <v>ОВ</v>
      </c>
      <c r="B419" s="7" t="s">
        <v>67</v>
      </c>
      <c r="C419" s="8">
        <v>5000</v>
      </c>
      <c r="D419" s="7" t="s">
        <v>142</v>
      </c>
      <c r="E419" s="7" t="s">
        <v>20</v>
      </c>
    </row>
    <row r="420" spans="1:5" ht="12.75">
      <c r="A420" s="6" t="str">
        <f>HYPERLINK(SUBSTITUTE(T(hl_0),"{0}","900327468028285"),hn_0)</f>
        <v>ОВ</v>
      </c>
      <c r="B420" s="7" t="s">
        <v>67</v>
      </c>
      <c r="C420" s="8">
        <v>5000</v>
      </c>
      <c r="D420" s="7" t="s">
        <v>142</v>
      </c>
      <c r="E420" s="7" t="s">
        <v>20</v>
      </c>
    </row>
    <row r="421" spans="1:5" ht="12.75">
      <c r="A421" s="6" t="str">
        <f>HYPERLINK(SUBSTITUTE(T(hl_0),"{0}","900327598536591"),hn_0)</f>
        <v>ОВ</v>
      </c>
      <c r="B421" s="7" t="s">
        <v>67</v>
      </c>
      <c r="C421" s="8">
        <v>5000</v>
      </c>
      <c r="D421" s="7" t="s">
        <v>81</v>
      </c>
      <c r="E421" s="7" t="s">
        <v>20</v>
      </c>
    </row>
    <row r="422" spans="1:5" ht="12.75">
      <c r="A422" s="6" t="str">
        <f>HYPERLINK(SUBSTITUTE(T(hl_0),"{0}","900327598536591"),hn_0)</f>
        <v>ОВ</v>
      </c>
      <c r="B422" s="7" t="s">
        <v>67</v>
      </c>
      <c r="C422" s="8">
        <v>5000</v>
      </c>
      <c r="D422" s="7" t="s">
        <v>81</v>
      </c>
      <c r="E422" s="7" t="s">
        <v>20</v>
      </c>
    </row>
    <row r="423" spans="1:5" ht="12.75">
      <c r="A423" s="6" t="str">
        <f>HYPERLINK(SUBSTITUTE(T(hl_0),"{0}","900327513257720"),hn_0)</f>
        <v>ОВ</v>
      </c>
      <c r="B423" s="7" t="s">
        <v>67</v>
      </c>
      <c r="C423" s="8">
        <v>5000</v>
      </c>
      <c r="D423" s="7" t="s">
        <v>143</v>
      </c>
      <c r="E423" s="7" t="s">
        <v>20</v>
      </c>
    </row>
    <row r="424" spans="1:5" ht="12.75">
      <c r="A424" s="6" t="str">
        <f>HYPERLINK(SUBSTITUTE(T(hl_0),"{0}","900327513257720"),hn_0)</f>
        <v>ОВ</v>
      </c>
      <c r="B424" s="7" t="s">
        <v>67</v>
      </c>
      <c r="C424" s="8">
        <v>5000</v>
      </c>
      <c r="D424" s="7" t="s">
        <v>143</v>
      </c>
      <c r="E424" s="7" t="s">
        <v>20</v>
      </c>
    </row>
    <row r="425" spans="1:5" ht="12.75">
      <c r="A425" s="6" t="str">
        <f>HYPERLINK(SUBSTITUTE(T(hl_0),"{0}","900327536334741"),hn_0)</f>
        <v>ОВ</v>
      </c>
      <c r="B425" s="7" t="s">
        <v>67</v>
      </c>
      <c r="C425" s="8">
        <v>5000</v>
      </c>
      <c r="D425" s="7" t="s">
        <v>113</v>
      </c>
      <c r="E425" s="7" t="s">
        <v>20</v>
      </c>
    </row>
    <row r="426" spans="1:5" ht="12.75">
      <c r="A426" s="6" t="str">
        <f>HYPERLINK(SUBSTITUTE(T(hl_0),"{0}","900327536334741"),hn_0)</f>
        <v>ОВ</v>
      </c>
      <c r="B426" s="7" t="s">
        <v>67</v>
      </c>
      <c r="C426" s="8">
        <v>5000</v>
      </c>
      <c r="D426" s="7" t="s">
        <v>113</v>
      </c>
      <c r="E426" s="7" t="s">
        <v>20</v>
      </c>
    </row>
    <row r="427" spans="1:5" ht="12.75">
      <c r="A427" s="6" t="str">
        <f>HYPERLINK(SUBSTITUTE(T(hl_0),"{0}","900327598704732"),hn_0)</f>
        <v>ОВ</v>
      </c>
      <c r="B427" s="7" t="s">
        <v>67</v>
      </c>
      <c r="C427" s="8">
        <v>5000</v>
      </c>
      <c r="D427" s="7" t="s">
        <v>81</v>
      </c>
      <c r="E427" s="7" t="s">
        <v>20</v>
      </c>
    </row>
    <row r="428" spans="1:5" ht="12.75">
      <c r="A428" s="6" t="str">
        <f>HYPERLINK(SUBSTITUTE(T(hl_0),"{0}","900327598704732"),hn_0)</f>
        <v>ОВ</v>
      </c>
      <c r="B428" s="7" t="s">
        <v>67</v>
      </c>
      <c r="C428" s="8">
        <v>5000</v>
      </c>
      <c r="D428" s="7" t="s">
        <v>81</v>
      </c>
      <c r="E428" s="7" t="s">
        <v>20</v>
      </c>
    </row>
    <row r="429" spans="1:5" ht="12.75">
      <c r="A429" s="6" t="str">
        <f>HYPERLINK(SUBSTITUTE(T(hl_0),"{0}","900327513227272"),hn_0)</f>
        <v>ОВ</v>
      </c>
      <c r="B429" s="7" t="s">
        <v>67</v>
      </c>
      <c r="C429" s="8">
        <v>5000</v>
      </c>
      <c r="D429" s="7" t="s">
        <v>144</v>
      </c>
      <c r="E429" s="7" t="s">
        <v>20</v>
      </c>
    </row>
    <row r="430" spans="1:5" ht="12.75">
      <c r="A430" s="6" t="str">
        <f>HYPERLINK(SUBSTITUTE(T(hl_0),"{0}","900327513227272"),hn_0)</f>
        <v>ОВ</v>
      </c>
      <c r="B430" s="7" t="s">
        <v>67</v>
      </c>
      <c r="C430" s="8">
        <v>5000</v>
      </c>
      <c r="D430" s="7" t="s">
        <v>144</v>
      </c>
      <c r="E430" s="7" t="s">
        <v>20</v>
      </c>
    </row>
    <row r="431" spans="1:5" ht="12.75">
      <c r="A431" s="6" t="str">
        <f>HYPERLINK(SUBSTITUTE(T(hl_0),"{0}","900327597537076"),hn_0)</f>
        <v>ОВ</v>
      </c>
      <c r="B431" s="7" t="s">
        <v>67</v>
      </c>
      <c r="C431" s="8">
        <v>5000</v>
      </c>
      <c r="D431" s="7" t="s">
        <v>86</v>
      </c>
      <c r="E431" s="7" t="s">
        <v>20</v>
      </c>
    </row>
    <row r="432" spans="1:5" ht="12.75">
      <c r="A432" s="6" t="str">
        <f>HYPERLINK(SUBSTITUTE(T(hl_0),"{0}","900327597537076"),hn_0)</f>
        <v>ОВ</v>
      </c>
      <c r="B432" s="7" t="s">
        <v>67</v>
      </c>
      <c r="C432" s="8">
        <v>5000</v>
      </c>
      <c r="D432" s="7" t="s">
        <v>86</v>
      </c>
      <c r="E432" s="7" t="s">
        <v>20</v>
      </c>
    </row>
    <row r="433" spans="1:5" ht="12.75">
      <c r="A433" s="6" t="str">
        <f>HYPERLINK(SUBSTITUTE(T(hl_0),"{0}","900327513385789"),hn_0)</f>
        <v>ОВ</v>
      </c>
      <c r="B433" s="7" t="s">
        <v>67</v>
      </c>
      <c r="C433" s="8">
        <v>5000</v>
      </c>
      <c r="D433" s="7" t="s">
        <v>107</v>
      </c>
      <c r="E433" s="7" t="s">
        <v>20</v>
      </c>
    </row>
    <row r="434" spans="1:5" ht="12.75">
      <c r="A434" s="6" t="str">
        <f>HYPERLINK(SUBSTITUTE(T(hl_0),"{0}","900327513385789"),hn_0)</f>
        <v>ОВ</v>
      </c>
      <c r="B434" s="7" t="s">
        <v>67</v>
      </c>
      <c r="C434" s="8">
        <v>5000</v>
      </c>
      <c r="D434" s="7" t="s">
        <v>107</v>
      </c>
      <c r="E434" s="7" t="s">
        <v>20</v>
      </c>
    </row>
    <row r="435" spans="1:5" ht="12.75">
      <c r="A435" s="6" t="str">
        <f>HYPERLINK(SUBSTITUTE(T(hl_0),"{0}","900327487848398"),hn_0)</f>
        <v>ОВ</v>
      </c>
      <c r="B435" s="7" t="s">
        <v>67</v>
      </c>
      <c r="C435" s="8">
        <v>5000</v>
      </c>
      <c r="D435" s="7" t="s">
        <v>108</v>
      </c>
      <c r="E435" s="7" t="s">
        <v>20</v>
      </c>
    </row>
    <row r="436" spans="1:5" ht="12.75">
      <c r="A436" s="6" t="str">
        <f>HYPERLINK(SUBSTITUTE(T(hl_0),"{0}","900327487848398"),hn_0)</f>
        <v>ОВ</v>
      </c>
      <c r="B436" s="7" t="s">
        <v>67</v>
      </c>
      <c r="C436" s="8">
        <v>5000</v>
      </c>
      <c r="D436" s="7" t="s">
        <v>108</v>
      </c>
      <c r="E436" s="7" t="s">
        <v>20</v>
      </c>
    </row>
    <row r="437" spans="1:5" ht="12.75">
      <c r="A437" s="6" t="str">
        <f>HYPERLINK(SUBSTITUTE(T(hl_0),"{0}","900327359307135"),hn_0)</f>
        <v>ОВ</v>
      </c>
      <c r="B437" s="7" t="s">
        <v>67</v>
      </c>
      <c r="C437" s="8">
        <v>5000</v>
      </c>
      <c r="D437" s="7" t="s">
        <v>44</v>
      </c>
      <c r="E437" s="7" t="s">
        <v>20</v>
      </c>
    </row>
    <row r="438" spans="1:5" ht="12.75">
      <c r="A438" s="6" t="str">
        <f>HYPERLINK(SUBSTITUTE(T(hl_0),"{0}","900327359307135"),hn_0)</f>
        <v>ОВ</v>
      </c>
      <c r="B438" s="7" t="s">
        <v>67</v>
      </c>
      <c r="C438" s="8">
        <v>5000</v>
      </c>
      <c r="D438" s="7" t="s">
        <v>44</v>
      </c>
      <c r="E438" s="7" t="s">
        <v>20</v>
      </c>
    </row>
    <row r="439" spans="1:5" ht="12.75">
      <c r="A439" s="6" t="str">
        <f>HYPERLINK(SUBSTITUTE(T(hl_0),"{0}","900327597176788"),hn_0)</f>
        <v>ОВ</v>
      </c>
      <c r="B439" s="7" t="s">
        <v>67</v>
      </c>
      <c r="C439" s="8">
        <v>5000</v>
      </c>
      <c r="D439" s="7" t="s">
        <v>145</v>
      </c>
      <c r="E439" s="7" t="s">
        <v>20</v>
      </c>
    </row>
    <row r="440" spans="1:5" ht="12.75">
      <c r="A440" s="6" t="str">
        <f>HYPERLINK(SUBSTITUTE(T(hl_0),"{0}","900327597176788"),hn_0)</f>
        <v>ОВ</v>
      </c>
      <c r="B440" s="7" t="s">
        <v>67</v>
      </c>
      <c r="C440" s="8">
        <v>5000</v>
      </c>
      <c r="D440" s="7" t="s">
        <v>145</v>
      </c>
      <c r="E440" s="7" t="s">
        <v>20</v>
      </c>
    </row>
    <row r="441" spans="1:5" ht="12.75">
      <c r="A441" s="6" t="str">
        <f>HYPERLINK(SUBSTITUTE(T(hl_0),"{0}","900327467612517"),hn_0)</f>
        <v>ОВ</v>
      </c>
      <c r="B441" s="7" t="s">
        <v>67</v>
      </c>
      <c r="C441" s="8">
        <v>5000</v>
      </c>
      <c r="D441" s="7" t="s">
        <v>141</v>
      </c>
      <c r="E441" s="7" t="s">
        <v>20</v>
      </c>
    </row>
    <row r="442" spans="1:5" ht="12.75">
      <c r="A442" s="6" t="str">
        <f>HYPERLINK(SUBSTITUTE(T(hl_0),"{0}","900327467612517"),hn_0)</f>
        <v>ОВ</v>
      </c>
      <c r="B442" s="7" t="s">
        <v>67</v>
      </c>
      <c r="C442" s="8">
        <v>5000</v>
      </c>
      <c r="D442" s="7" t="s">
        <v>141</v>
      </c>
      <c r="E442" s="7" t="s">
        <v>20</v>
      </c>
    </row>
    <row r="443" spans="1:5" ht="12.75">
      <c r="A443" s="6" t="str">
        <f>HYPERLINK(SUBSTITUTE(T(hl_0),"{0}","900327597603870"),hn_0)</f>
        <v>ОВ</v>
      </c>
      <c r="B443" s="7" t="s">
        <v>67</v>
      </c>
      <c r="C443" s="8">
        <v>5000</v>
      </c>
      <c r="D443" s="7" t="s">
        <v>146</v>
      </c>
      <c r="E443" s="7" t="s">
        <v>20</v>
      </c>
    </row>
    <row r="444" spans="1:5" ht="12.75">
      <c r="A444" s="6" t="str">
        <f>HYPERLINK(SUBSTITUTE(T(hl_0),"{0}","900327597603870"),hn_0)</f>
        <v>ОВ</v>
      </c>
      <c r="B444" s="7" t="s">
        <v>67</v>
      </c>
      <c r="C444" s="8">
        <v>5000</v>
      </c>
      <c r="D444" s="7" t="s">
        <v>146</v>
      </c>
      <c r="E444" s="7" t="s">
        <v>20</v>
      </c>
    </row>
    <row r="445" spans="1:5" ht="12.75">
      <c r="A445" s="6" t="str">
        <f>HYPERLINK(SUBSTITUTE(T(hl_0),"{0}","900327359168819"),hn_0)</f>
        <v>ОВ</v>
      </c>
      <c r="B445" s="7" t="s">
        <v>67</v>
      </c>
      <c r="C445" s="8">
        <v>5000</v>
      </c>
      <c r="D445" s="7" t="s">
        <v>123</v>
      </c>
      <c r="E445" s="7" t="s">
        <v>20</v>
      </c>
    </row>
    <row r="446" spans="1:5" ht="12.75">
      <c r="A446" s="6" t="str">
        <f>HYPERLINK(SUBSTITUTE(T(hl_0),"{0}","900327359168819"),hn_0)</f>
        <v>ОВ</v>
      </c>
      <c r="B446" s="7" t="s">
        <v>67</v>
      </c>
      <c r="C446" s="8">
        <v>5000</v>
      </c>
      <c r="D446" s="7" t="s">
        <v>123</v>
      </c>
      <c r="E446" s="7" t="s">
        <v>20</v>
      </c>
    </row>
    <row r="447" spans="1:5" ht="12.75">
      <c r="A447" s="6" t="str">
        <f>HYPERLINK(SUBSTITUTE(T(hl_0),"{0}","900327359168833"),hn_0)</f>
        <v>ОВ</v>
      </c>
      <c r="B447" s="7" t="s">
        <v>67</v>
      </c>
      <c r="C447" s="8">
        <v>5000</v>
      </c>
      <c r="D447" s="7" t="s">
        <v>123</v>
      </c>
      <c r="E447" s="7" t="s">
        <v>20</v>
      </c>
    </row>
    <row r="448" spans="1:5" ht="12.75">
      <c r="A448" s="6" t="str">
        <f>HYPERLINK(SUBSTITUTE(T(hl_0),"{0}","900327359168833"),hn_0)</f>
        <v>ОВ</v>
      </c>
      <c r="B448" s="7" t="s">
        <v>67</v>
      </c>
      <c r="C448" s="8">
        <v>5000</v>
      </c>
      <c r="D448" s="7" t="s">
        <v>123</v>
      </c>
      <c r="E448" s="7" t="s">
        <v>20</v>
      </c>
    </row>
    <row r="449" spans="1:5" ht="12.75">
      <c r="A449" s="6" t="str">
        <f>HYPERLINK(SUBSTITUTE(T(hl_0),"{0}","900327598490218"),hn_0)</f>
        <v>ОВ</v>
      </c>
      <c r="B449" s="7" t="s">
        <v>67</v>
      </c>
      <c r="C449" s="8">
        <v>5000</v>
      </c>
      <c r="D449" s="7" t="s">
        <v>99</v>
      </c>
      <c r="E449" s="7" t="s">
        <v>20</v>
      </c>
    </row>
    <row r="450" spans="1:5" ht="12.75">
      <c r="A450" s="6" t="str">
        <f>HYPERLINK(SUBSTITUTE(T(hl_0),"{0}","900327598490218"),hn_0)</f>
        <v>ОВ</v>
      </c>
      <c r="B450" s="7" t="s">
        <v>67</v>
      </c>
      <c r="C450" s="8">
        <v>5000</v>
      </c>
      <c r="D450" s="7" t="s">
        <v>99</v>
      </c>
      <c r="E450" s="7" t="s">
        <v>20</v>
      </c>
    </row>
    <row r="451" spans="1:5" ht="12.75">
      <c r="A451" s="6" t="str">
        <f>HYPERLINK(SUBSTITUTE(T(hl_0),"{0}","900327598615206"),hn_0)</f>
        <v>ОВ</v>
      </c>
      <c r="B451" s="7" t="s">
        <v>67</v>
      </c>
      <c r="C451" s="8">
        <v>5000</v>
      </c>
      <c r="D451" s="7" t="s">
        <v>92</v>
      </c>
      <c r="E451" s="7" t="s">
        <v>20</v>
      </c>
    </row>
    <row r="452" spans="1:5" ht="12.75">
      <c r="A452" s="6" t="str">
        <f>HYPERLINK(SUBSTITUTE(T(hl_0),"{0}","900327598615206"),hn_0)</f>
        <v>ОВ</v>
      </c>
      <c r="B452" s="7" t="s">
        <v>67</v>
      </c>
      <c r="C452" s="8">
        <v>5000</v>
      </c>
      <c r="D452" s="7" t="s">
        <v>92</v>
      </c>
      <c r="E452" s="7" t="s">
        <v>20</v>
      </c>
    </row>
    <row r="453" spans="1:5" ht="12.75">
      <c r="A453" s="6" t="str">
        <f>HYPERLINK(SUBSTITUTE(T(hl_0),"{0}","900327598625768"),hn_0)</f>
        <v>ОВ</v>
      </c>
      <c r="B453" s="7" t="s">
        <v>67</v>
      </c>
      <c r="C453" s="8">
        <v>5000</v>
      </c>
      <c r="D453" s="7" t="s">
        <v>92</v>
      </c>
      <c r="E453" s="7" t="s">
        <v>20</v>
      </c>
    </row>
    <row r="454" spans="1:5" ht="12.75">
      <c r="A454" s="6" t="str">
        <f>HYPERLINK(SUBSTITUTE(T(hl_0),"{0}","900327598625768"),hn_0)</f>
        <v>ОВ</v>
      </c>
      <c r="B454" s="7" t="s">
        <v>67</v>
      </c>
      <c r="C454" s="8">
        <v>5000</v>
      </c>
      <c r="D454" s="7" t="s">
        <v>92</v>
      </c>
      <c r="E454" s="7" t="s">
        <v>20</v>
      </c>
    </row>
    <row r="455" spans="1:5" ht="12.75">
      <c r="A455" s="6" t="str">
        <f>HYPERLINK(SUBSTITUTE(T(hl_0),"{0}","900327359614871"),hn_0)</f>
        <v>ОВ</v>
      </c>
      <c r="B455" s="7" t="s">
        <v>67</v>
      </c>
      <c r="C455" s="8">
        <v>5000</v>
      </c>
      <c r="D455" s="7" t="s">
        <v>147</v>
      </c>
      <c r="E455" s="7" t="s">
        <v>20</v>
      </c>
    </row>
    <row r="456" spans="1:5" ht="12.75">
      <c r="A456" s="6" t="str">
        <f>HYPERLINK(SUBSTITUTE(T(hl_0),"{0}","900327359614871"),hn_0)</f>
        <v>ОВ</v>
      </c>
      <c r="B456" s="7" t="s">
        <v>67</v>
      </c>
      <c r="C456" s="8">
        <v>5000</v>
      </c>
      <c r="D456" s="7" t="s">
        <v>147</v>
      </c>
      <c r="E456" s="7" t="s">
        <v>20</v>
      </c>
    </row>
    <row r="457" spans="1:5" ht="12.75">
      <c r="A457" s="6" t="str">
        <f>HYPERLINK(SUBSTITUTE(T(hl_0),"{0}","900327486942690"),hn_0)</f>
        <v>ОВ</v>
      </c>
      <c r="B457" s="7" t="s">
        <v>67</v>
      </c>
      <c r="C457" s="8">
        <v>5000</v>
      </c>
      <c r="D457" s="7" t="s">
        <v>130</v>
      </c>
      <c r="E457" s="7" t="s">
        <v>20</v>
      </c>
    </row>
    <row r="458" spans="1:5" ht="12.75">
      <c r="A458" s="6" t="str">
        <f>HYPERLINK(SUBSTITUTE(T(hl_0),"{0}","900327486942690"),hn_0)</f>
        <v>ОВ</v>
      </c>
      <c r="B458" s="7" t="s">
        <v>67</v>
      </c>
      <c r="C458" s="8">
        <v>5000</v>
      </c>
      <c r="D458" s="7" t="s">
        <v>130</v>
      </c>
      <c r="E458" s="7" t="s">
        <v>20</v>
      </c>
    </row>
    <row r="459" spans="1:5" ht="12.75">
      <c r="A459" s="6" t="str">
        <f>HYPERLINK(SUBSTITUTE(T(hl_0),"{0}","900327486942699"),hn_0)</f>
        <v>ОВ</v>
      </c>
      <c r="B459" s="7" t="s">
        <v>67</v>
      </c>
      <c r="C459" s="8">
        <v>5000</v>
      </c>
      <c r="D459" s="7" t="s">
        <v>130</v>
      </c>
      <c r="E459" s="7" t="s">
        <v>20</v>
      </c>
    </row>
    <row r="460" spans="1:5" ht="12.75">
      <c r="A460" s="6" t="str">
        <f>HYPERLINK(SUBSTITUTE(T(hl_0),"{0}","900327486942699"),hn_0)</f>
        <v>ОВ</v>
      </c>
      <c r="B460" s="7" t="s">
        <v>67</v>
      </c>
      <c r="C460" s="8">
        <v>5000</v>
      </c>
      <c r="D460" s="7" t="s">
        <v>130</v>
      </c>
      <c r="E460" s="7" t="s">
        <v>20</v>
      </c>
    </row>
    <row r="461" spans="1:5" ht="12.75">
      <c r="A461" s="6" t="str">
        <f>HYPERLINK(SUBSTITUTE(T(hl_0),"{0}","900327535614115"),hn_0)</f>
        <v>ОВ</v>
      </c>
      <c r="B461" s="7" t="s">
        <v>67</v>
      </c>
      <c r="C461" s="8">
        <v>5000</v>
      </c>
      <c r="D461" s="7" t="s">
        <v>148</v>
      </c>
      <c r="E461" s="7" t="s">
        <v>20</v>
      </c>
    </row>
    <row r="462" spans="1:5" ht="12.75">
      <c r="A462" s="6" t="str">
        <f>HYPERLINK(SUBSTITUTE(T(hl_0),"{0}","900327535614115"),hn_0)</f>
        <v>ОВ</v>
      </c>
      <c r="B462" s="7" t="s">
        <v>67</v>
      </c>
      <c r="C462" s="8">
        <v>5000</v>
      </c>
      <c r="D462" s="7" t="s">
        <v>148</v>
      </c>
      <c r="E462" s="7" t="s">
        <v>20</v>
      </c>
    </row>
    <row r="463" spans="1:5" ht="12.75">
      <c r="A463" s="6" t="str">
        <f>HYPERLINK(SUBSTITUTE(T(hl_0),"{0}","900327598218047"),hn_0)</f>
        <v>ОВ</v>
      </c>
      <c r="B463" s="7" t="s">
        <v>67</v>
      </c>
      <c r="C463" s="8">
        <v>5000</v>
      </c>
      <c r="D463" s="7" t="s">
        <v>71</v>
      </c>
      <c r="E463" s="7" t="s">
        <v>20</v>
      </c>
    </row>
    <row r="464" spans="1:5" ht="12.75">
      <c r="A464" s="6" t="str">
        <f>HYPERLINK(SUBSTITUTE(T(hl_0),"{0}","900327598218047"),hn_0)</f>
        <v>ОВ</v>
      </c>
      <c r="B464" s="7" t="s">
        <v>67</v>
      </c>
      <c r="C464" s="8">
        <v>5000</v>
      </c>
      <c r="D464" s="7" t="s">
        <v>71</v>
      </c>
      <c r="E464" s="7" t="s">
        <v>20</v>
      </c>
    </row>
    <row r="465" spans="1:5" ht="12.75">
      <c r="A465" s="6" t="str">
        <f>HYPERLINK(SUBSTITUTE(T(hl_0),"{0}","900327513240868"),hn_0)</f>
        <v>ОВ</v>
      </c>
      <c r="B465" s="7" t="s">
        <v>67</v>
      </c>
      <c r="C465" s="8">
        <v>5000</v>
      </c>
      <c r="D465" s="7" t="s">
        <v>102</v>
      </c>
      <c r="E465" s="7" t="s">
        <v>20</v>
      </c>
    </row>
    <row r="466" spans="1:5" ht="12.75">
      <c r="A466" s="6" t="str">
        <f>HYPERLINK(SUBSTITUTE(T(hl_0),"{0}","900327513240868"),hn_0)</f>
        <v>ОВ</v>
      </c>
      <c r="B466" s="7" t="s">
        <v>67</v>
      </c>
      <c r="C466" s="8">
        <v>5000</v>
      </c>
      <c r="D466" s="7" t="s">
        <v>102</v>
      </c>
      <c r="E466" s="7" t="s">
        <v>20</v>
      </c>
    </row>
    <row r="467" spans="1:5" ht="12.75">
      <c r="A467" s="6" t="str">
        <f>HYPERLINK(SUBSTITUTE(T(hl_0),"{0}","900327596274328"),hn_0)</f>
        <v>ОВ</v>
      </c>
      <c r="B467" s="7" t="s">
        <v>67</v>
      </c>
      <c r="C467" s="8">
        <v>5000</v>
      </c>
      <c r="D467" s="7" t="s">
        <v>149</v>
      </c>
      <c r="E467" s="7" t="s">
        <v>20</v>
      </c>
    </row>
    <row r="468" spans="1:5" ht="12.75">
      <c r="A468" s="6" t="str">
        <f>HYPERLINK(SUBSTITUTE(T(hl_0),"{0}","900327596274328"),hn_0)</f>
        <v>ОВ</v>
      </c>
      <c r="B468" s="7" t="s">
        <v>67</v>
      </c>
      <c r="C468" s="8">
        <v>5000</v>
      </c>
      <c r="D468" s="7" t="s">
        <v>149</v>
      </c>
      <c r="E468" s="7" t="s">
        <v>20</v>
      </c>
    </row>
    <row r="469" spans="1:5" ht="12.75">
      <c r="A469" s="6" t="str">
        <f>HYPERLINK(SUBSTITUTE(T(hl_0),"{0}","900327597886893"),hn_0)</f>
        <v>ОВ</v>
      </c>
      <c r="B469" s="7" t="s">
        <v>67</v>
      </c>
      <c r="C469" s="8">
        <v>5000</v>
      </c>
      <c r="D469" s="7" t="s">
        <v>150</v>
      </c>
      <c r="E469" s="7" t="s">
        <v>20</v>
      </c>
    </row>
    <row r="470" spans="1:5" ht="12.75">
      <c r="A470" s="6" t="str">
        <f>HYPERLINK(SUBSTITUTE(T(hl_0),"{0}","900327597886893"),hn_0)</f>
        <v>ОВ</v>
      </c>
      <c r="B470" s="7" t="s">
        <v>67</v>
      </c>
      <c r="C470" s="8">
        <v>5000</v>
      </c>
      <c r="D470" s="7" t="s">
        <v>150</v>
      </c>
      <c r="E470" s="7" t="s">
        <v>20</v>
      </c>
    </row>
    <row r="471" spans="1:5" ht="12.75">
      <c r="A471" s="6" t="str">
        <f>HYPERLINK(SUBSTITUTE(T(hl_0),"{0}","900327486065902"),hn_0)</f>
        <v>ОВ</v>
      </c>
      <c r="B471" s="7" t="s">
        <v>67</v>
      </c>
      <c r="C471" s="8">
        <v>5000</v>
      </c>
      <c r="D471" s="7" t="s">
        <v>141</v>
      </c>
      <c r="E471" s="7" t="s">
        <v>20</v>
      </c>
    </row>
    <row r="472" spans="1:5" ht="12.75">
      <c r="A472" s="6" t="str">
        <f>HYPERLINK(SUBSTITUTE(T(hl_0),"{0}","900327486065902"),hn_0)</f>
        <v>ОВ</v>
      </c>
      <c r="B472" s="7" t="s">
        <v>67</v>
      </c>
      <c r="C472" s="8">
        <v>5000</v>
      </c>
      <c r="D472" s="7" t="s">
        <v>141</v>
      </c>
      <c r="E472" s="7" t="s">
        <v>20</v>
      </c>
    </row>
    <row r="473" spans="1:5" ht="12.75">
      <c r="A473" s="6" t="str">
        <f>HYPERLINK(SUBSTITUTE(T(hl_0),"{0}","900327487254528"),hn_0)</f>
        <v>ОВ</v>
      </c>
      <c r="B473" s="7" t="s">
        <v>67</v>
      </c>
      <c r="C473" s="8">
        <v>5000</v>
      </c>
      <c r="D473" s="7" t="s">
        <v>85</v>
      </c>
      <c r="E473" s="7" t="s">
        <v>20</v>
      </c>
    </row>
    <row r="474" spans="1:5" ht="12.75">
      <c r="A474" s="6" t="str">
        <f>HYPERLINK(SUBSTITUTE(T(hl_0),"{0}","900327487254528"),hn_0)</f>
        <v>ОВ</v>
      </c>
      <c r="B474" s="7" t="s">
        <v>67</v>
      </c>
      <c r="C474" s="8">
        <v>5000</v>
      </c>
      <c r="D474" s="7" t="s">
        <v>85</v>
      </c>
      <c r="E474" s="7" t="s">
        <v>20</v>
      </c>
    </row>
    <row r="475" spans="1:5" ht="12.75">
      <c r="A475" s="6" t="str">
        <f>HYPERLINK(SUBSTITUTE(T(hl_0),"{0}","900327535104611"),hn_0)</f>
        <v>ОВ</v>
      </c>
      <c r="B475" s="7" t="s">
        <v>67</v>
      </c>
      <c r="C475" s="8">
        <v>5000</v>
      </c>
      <c r="D475" s="7" t="s">
        <v>128</v>
      </c>
      <c r="E475" s="7" t="s">
        <v>20</v>
      </c>
    </row>
    <row r="476" spans="1:5" ht="12.75">
      <c r="A476" s="6" t="str">
        <f>HYPERLINK(SUBSTITUTE(T(hl_0),"{0}","900327535104611"),hn_0)</f>
        <v>ОВ</v>
      </c>
      <c r="B476" s="7" t="s">
        <v>67</v>
      </c>
      <c r="C476" s="8">
        <v>5000</v>
      </c>
      <c r="D476" s="7" t="s">
        <v>128</v>
      </c>
      <c r="E476" s="7" t="s">
        <v>20</v>
      </c>
    </row>
    <row r="477" spans="1:5" ht="12.75">
      <c r="A477" s="6" t="str">
        <f>HYPERLINK(SUBSTITUTE(T(hl_0),"{0}","900327535229034"),hn_0)</f>
        <v>ОВ</v>
      </c>
      <c r="B477" s="7" t="s">
        <v>67</v>
      </c>
      <c r="C477" s="8">
        <v>5000</v>
      </c>
      <c r="D477" s="7" t="s">
        <v>128</v>
      </c>
      <c r="E477" s="7" t="s">
        <v>20</v>
      </c>
    </row>
    <row r="478" spans="1:5" ht="12.75">
      <c r="A478" s="6" t="str">
        <f>HYPERLINK(SUBSTITUTE(T(hl_0),"{0}","900327535229034"),hn_0)</f>
        <v>ОВ</v>
      </c>
      <c r="B478" s="7" t="s">
        <v>67</v>
      </c>
      <c r="C478" s="8">
        <v>5000</v>
      </c>
      <c r="D478" s="7" t="s">
        <v>128</v>
      </c>
      <c r="E478" s="7" t="s">
        <v>20</v>
      </c>
    </row>
    <row r="479" spans="1:5" ht="12.75">
      <c r="A479" s="6" t="str">
        <f>HYPERLINK(SUBSTITUTE(T(hl_0),"{0}","900327361907966"),hn_0)</f>
        <v>ОВ</v>
      </c>
      <c r="B479" s="7" t="s">
        <v>67</v>
      </c>
      <c r="C479" s="8">
        <v>5000</v>
      </c>
      <c r="D479" s="7" t="s">
        <v>109</v>
      </c>
      <c r="E479" s="7" t="s">
        <v>20</v>
      </c>
    </row>
    <row r="480" spans="1:5" ht="12.75">
      <c r="A480" s="6" t="str">
        <f>HYPERLINK(SUBSTITUTE(T(hl_0),"{0}","900327361907966"),hn_0)</f>
        <v>ОВ</v>
      </c>
      <c r="B480" s="7" t="s">
        <v>67</v>
      </c>
      <c r="C480" s="8">
        <v>5000</v>
      </c>
      <c r="D480" s="7" t="s">
        <v>109</v>
      </c>
      <c r="E480" s="7" t="s">
        <v>20</v>
      </c>
    </row>
    <row r="481" spans="1:5" ht="12.75">
      <c r="A481" s="6" t="str">
        <f>HYPERLINK(SUBSTITUTE(T(hl_0),"{0}","900327598635328"),hn_0)</f>
        <v>ОВ</v>
      </c>
      <c r="B481" s="7" t="s">
        <v>67</v>
      </c>
      <c r="C481" s="8">
        <v>5000</v>
      </c>
      <c r="D481" s="7" t="s">
        <v>92</v>
      </c>
      <c r="E481" s="7" t="s">
        <v>20</v>
      </c>
    </row>
    <row r="482" spans="1:5" ht="12.75">
      <c r="A482" s="6" t="str">
        <f>HYPERLINK(SUBSTITUTE(T(hl_0),"{0}","900327598635328"),hn_0)</f>
        <v>ОВ</v>
      </c>
      <c r="B482" s="7" t="s">
        <v>67</v>
      </c>
      <c r="C482" s="8">
        <v>5000</v>
      </c>
      <c r="D482" s="7" t="s">
        <v>92</v>
      </c>
      <c r="E482" s="7" t="s">
        <v>20</v>
      </c>
    </row>
    <row r="483" spans="1:5" ht="12.75">
      <c r="A483" s="6" t="str">
        <f>HYPERLINK(SUBSTITUTE(T(hl_0),"{0}","900327359084543"),hn_0)</f>
        <v>ОВ</v>
      </c>
      <c r="B483" s="7" t="s">
        <v>67</v>
      </c>
      <c r="C483" s="8">
        <v>5000</v>
      </c>
      <c r="D483" s="7" t="s">
        <v>123</v>
      </c>
      <c r="E483" s="7" t="s">
        <v>20</v>
      </c>
    </row>
    <row r="484" spans="1:5" ht="12.75">
      <c r="A484" s="6" t="str">
        <f>HYPERLINK(SUBSTITUTE(T(hl_0),"{0}","900327359084543"),hn_0)</f>
        <v>ОВ</v>
      </c>
      <c r="B484" s="7" t="s">
        <v>67</v>
      </c>
      <c r="C484" s="8">
        <v>5000</v>
      </c>
      <c r="D484" s="7" t="s">
        <v>123</v>
      </c>
      <c r="E484" s="7" t="s">
        <v>20</v>
      </c>
    </row>
    <row r="485" spans="1:5" ht="12.75">
      <c r="A485" s="6" t="str">
        <f>HYPERLINK(SUBSTITUTE(T(hl_0),"{0}","900327467663834"),hn_0)</f>
        <v>ОВ</v>
      </c>
      <c r="B485" s="7" t="s">
        <v>67</v>
      </c>
      <c r="C485" s="8">
        <v>5000</v>
      </c>
      <c r="D485" s="7" t="s">
        <v>76</v>
      </c>
      <c r="E485" s="7" t="s">
        <v>20</v>
      </c>
    </row>
    <row r="486" spans="1:5" ht="12.75">
      <c r="A486" s="6" t="str">
        <f>HYPERLINK(SUBSTITUTE(T(hl_0),"{0}","900327467663834"),hn_0)</f>
        <v>ОВ</v>
      </c>
      <c r="B486" s="7" t="s">
        <v>67</v>
      </c>
      <c r="C486" s="8">
        <v>5000</v>
      </c>
      <c r="D486" s="7" t="s">
        <v>76</v>
      </c>
      <c r="E486" s="7" t="s">
        <v>20</v>
      </c>
    </row>
    <row r="487" spans="1:5" ht="12.75">
      <c r="A487" s="6" t="str">
        <f>HYPERLINK(SUBSTITUTE(T(hl_0),"{0}","900327467663854"),hn_0)</f>
        <v>ОВ</v>
      </c>
      <c r="B487" s="7" t="s">
        <v>67</v>
      </c>
      <c r="C487" s="8">
        <v>5000</v>
      </c>
      <c r="D487" s="7" t="s">
        <v>76</v>
      </c>
      <c r="E487" s="7" t="s">
        <v>20</v>
      </c>
    </row>
    <row r="488" spans="1:5" ht="12.75">
      <c r="A488" s="6" t="str">
        <f>HYPERLINK(SUBSTITUTE(T(hl_0),"{0}","900327467663854"),hn_0)</f>
        <v>ОВ</v>
      </c>
      <c r="B488" s="7" t="s">
        <v>67</v>
      </c>
      <c r="C488" s="8">
        <v>5000</v>
      </c>
      <c r="D488" s="7" t="s">
        <v>76</v>
      </c>
      <c r="E488" s="7" t="s">
        <v>20</v>
      </c>
    </row>
    <row r="489" spans="1:5" ht="12.75">
      <c r="A489" s="6" t="str">
        <f>HYPERLINK(SUBSTITUTE(T(hl_0),"{0}","900327467663863"),hn_0)</f>
        <v>ОВ</v>
      </c>
      <c r="B489" s="7" t="s">
        <v>67</v>
      </c>
      <c r="C489" s="8">
        <v>5000</v>
      </c>
      <c r="D489" s="7" t="s">
        <v>76</v>
      </c>
      <c r="E489" s="7" t="s">
        <v>20</v>
      </c>
    </row>
    <row r="490" spans="1:5" ht="12.75">
      <c r="A490" s="6" t="str">
        <f>HYPERLINK(SUBSTITUTE(T(hl_0),"{0}","900327467663863"),hn_0)</f>
        <v>ОВ</v>
      </c>
      <c r="B490" s="7" t="s">
        <v>67</v>
      </c>
      <c r="C490" s="8">
        <v>5000</v>
      </c>
      <c r="D490" s="7" t="s">
        <v>76</v>
      </c>
      <c r="E490" s="7" t="s">
        <v>20</v>
      </c>
    </row>
    <row r="491" spans="1:5" ht="12.75">
      <c r="A491" s="6" t="str">
        <f>HYPERLINK(SUBSTITUTE(T(hl_0),"{0}","900327467663884"),hn_0)</f>
        <v>ОВ</v>
      </c>
      <c r="B491" s="7" t="s">
        <v>67</v>
      </c>
      <c r="C491" s="8">
        <v>5000</v>
      </c>
      <c r="D491" s="7" t="s">
        <v>76</v>
      </c>
      <c r="E491" s="7" t="s">
        <v>20</v>
      </c>
    </row>
    <row r="492" spans="1:5" ht="12.75">
      <c r="A492" s="6" t="str">
        <f>HYPERLINK(SUBSTITUTE(T(hl_0),"{0}","900327467663884"),hn_0)</f>
        <v>ОВ</v>
      </c>
      <c r="B492" s="7" t="s">
        <v>67</v>
      </c>
      <c r="C492" s="8">
        <v>5000</v>
      </c>
      <c r="D492" s="7" t="s">
        <v>76</v>
      </c>
      <c r="E492" s="7" t="s">
        <v>20</v>
      </c>
    </row>
    <row r="493" spans="1:5" ht="12.75">
      <c r="A493" s="6" t="str">
        <f>HYPERLINK(SUBSTITUTE(T(hl_0),"{0}","900327361868352"),hn_0)</f>
        <v>ОВ</v>
      </c>
      <c r="B493" s="7" t="s">
        <v>67</v>
      </c>
      <c r="C493" s="8">
        <v>5000</v>
      </c>
      <c r="D493" s="7" t="s">
        <v>109</v>
      </c>
      <c r="E493" s="7" t="s">
        <v>20</v>
      </c>
    </row>
    <row r="494" spans="1:5" ht="12.75">
      <c r="A494" s="6" t="str">
        <f>HYPERLINK(SUBSTITUTE(T(hl_0),"{0}","900327361868352"),hn_0)</f>
        <v>ОВ</v>
      </c>
      <c r="B494" s="7" t="s">
        <v>67</v>
      </c>
      <c r="C494" s="8">
        <v>5000</v>
      </c>
      <c r="D494" s="7" t="s">
        <v>109</v>
      </c>
      <c r="E494" s="7" t="s">
        <v>20</v>
      </c>
    </row>
    <row r="495" spans="1:5" ht="12.75">
      <c r="A495" s="6" t="str">
        <f>HYPERLINK(SUBSTITUTE(T(hl_0),"{0}","900327362575166"),hn_0)</f>
        <v>ОВ</v>
      </c>
      <c r="B495" s="7" t="s">
        <v>67</v>
      </c>
      <c r="C495" s="8">
        <v>5000</v>
      </c>
      <c r="D495" s="7" t="s">
        <v>117</v>
      </c>
      <c r="E495" s="7" t="s">
        <v>20</v>
      </c>
    </row>
    <row r="496" spans="1:5" ht="12.75">
      <c r="A496" s="6" t="str">
        <f>HYPERLINK(SUBSTITUTE(T(hl_0),"{0}","900327362575166"),hn_0)</f>
        <v>ОВ</v>
      </c>
      <c r="B496" s="7" t="s">
        <v>67</v>
      </c>
      <c r="C496" s="8">
        <v>5000</v>
      </c>
      <c r="D496" s="7" t="s">
        <v>117</v>
      </c>
      <c r="E496" s="7" t="s">
        <v>20</v>
      </c>
    </row>
    <row r="497" spans="1:5" ht="12.75">
      <c r="A497" s="6" t="str">
        <f>HYPERLINK(SUBSTITUTE(T(hl_0),"{0}","900327487860566"),hn_0)</f>
        <v>ОВ</v>
      </c>
      <c r="B497" s="7" t="s">
        <v>67</v>
      </c>
      <c r="C497" s="8">
        <v>5000</v>
      </c>
      <c r="D497" s="7" t="s">
        <v>141</v>
      </c>
      <c r="E497" s="7" t="s">
        <v>20</v>
      </c>
    </row>
    <row r="498" spans="1:5" ht="12.75">
      <c r="A498" s="6" t="str">
        <f>HYPERLINK(SUBSTITUTE(T(hl_0),"{0}","900327487860566"),hn_0)</f>
        <v>ОВ</v>
      </c>
      <c r="B498" s="7" t="s">
        <v>67</v>
      </c>
      <c r="C498" s="8">
        <v>5000</v>
      </c>
      <c r="D498" s="7" t="s">
        <v>141</v>
      </c>
      <c r="E498" s="7" t="s">
        <v>20</v>
      </c>
    </row>
    <row r="499" spans="1:5" ht="12.75">
      <c r="A499" s="6" t="str">
        <f>HYPERLINK(SUBSTITUTE(T(hl_0),"{0}","900327598548379"),hn_0)</f>
        <v>ОВ</v>
      </c>
      <c r="B499" s="7" t="s">
        <v>67</v>
      </c>
      <c r="C499" s="8">
        <v>5000</v>
      </c>
      <c r="D499" s="7" t="s">
        <v>81</v>
      </c>
      <c r="E499" s="7" t="s">
        <v>20</v>
      </c>
    </row>
    <row r="500" spans="1:5" ht="12.75">
      <c r="A500" s="6" t="str">
        <f>HYPERLINK(SUBSTITUTE(T(hl_0),"{0}","900327598548379"),hn_0)</f>
        <v>ОВ</v>
      </c>
      <c r="B500" s="7" t="s">
        <v>67</v>
      </c>
      <c r="C500" s="8">
        <v>5000</v>
      </c>
      <c r="D500" s="7" t="s">
        <v>81</v>
      </c>
      <c r="E500" s="7" t="s">
        <v>20</v>
      </c>
    </row>
    <row r="501" spans="1:5" ht="12.75">
      <c r="A501" s="6" t="str">
        <f>HYPERLINK(SUBSTITUTE(T(hl_0),"{0}","900327534292381"),hn_0)</f>
        <v>ОВ</v>
      </c>
      <c r="B501" s="7" t="s">
        <v>67</v>
      </c>
      <c r="C501" s="8">
        <v>5000</v>
      </c>
      <c r="D501" s="7" t="s">
        <v>118</v>
      </c>
      <c r="E501" s="7" t="s">
        <v>20</v>
      </c>
    </row>
    <row r="502" spans="1:5" ht="12.75">
      <c r="A502" s="6" t="str">
        <f>HYPERLINK(SUBSTITUTE(T(hl_0),"{0}","900327534292381"),hn_0)</f>
        <v>ОВ</v>
      </c>
      <c r="B502" s="7" t="s">
        <v>67</v>
      </c>
      <c r="C502" s="8">
        <v>5000</v>
      </c>
      <c r="D502" s="7" t="s">
        <v>118</v>
      </c>
      <c r="E502" s="7" t="s">
        <v>20</v>
      </c>
    </row>
    <row r="503" spans="1:5" ht="12.75">
      <c r="A503" s="6" t="str">
        <f>HYPERLINK(SUBSTITUTE(T(hl_0),"{0}","900327359990257"),hn_0)</f>
        <v>ОВ</v>
      </c>
      <c r="B503" s="7" t="s">
        <v>67</v>
      </c>
      <c r="C503" s="8">
        <v>5000</v>
      </c>
      <c r="D503" s="7" t="s">
        <v>36</v>
      </c>
      <c r="E503" s="7" t="s">
        <v>20</v>
      </c>
    </row>
    <row r="504" spans="1:5" ht="12.75">
      <c r="A504" s="6" t="str">
        <f>HYPERLINK(SUBSTITUTE(T(hl_0),"{0}","900327359990257"),hn_0)</f>
        <v>ОВ</v>
      </c>
      <c r="B504" s="7" t="s">
        <v>67</v>
      </c>
      <c r="C504" s="8">
        <v>5000</v>
      </c>
      <c r="D504" s="7" t="s">
        <v>36</v>
      </c>
      <c r="E504" s="7" t="s">
        <v>20</v>
      </c>
    </row>
    <row r="505" spans="1:5" ht="12.75">
      <c r="A505" s="6" t="str">
        <f>HYPERLINK(SUBSTITUTE(T(hl_0),"{0}","900327535332911"),hn_0)</f>
        <v>ОВ</v>
      </c>
      <c r="B505" s="7" t="s">
        <v>67</v>
      </c>
      <c r="C505" s="8">
        <v>5000</v>
      </c>
      <c r="D505" s="7" t="s">
        <v>151</v>
      </c>
      <c r="E505" s="7" t="s">
        <v>20</v>
      </c>
    </row>
    <row r="506" spans="1:5" ht="12.75">
      <c r="A506" s="6" t="str">
        <f>HYPERLINK(SUBSTITUTE(T(hl_0),"{0}","900327535332911"),hn_0)</f>
        <v>ОВ</v>
      </c>
      <c r="B506" s="7" t="s">
        <v>67</v>
      </c>
      <c r="C506" s="8">
        <v>5000</v>
      </c>
      <c r="D506" s="7" t="s">
        <v>151</v>
      </c>
      <c r="E506" s="7" t="s">
        <v>20</v>
      </c>
    </row>
    <row r="507" spans="1:5" ht="12.75">
      <c r="A507" s="6" t="str">
        <f>HYPERLINK(SUBSTITUTE(T(hl_0),"{0}","900327597160587"),hn_0)</f>
        <v>ОВ</v>
      </c>
      <c r="B507" s="7" t="s">
        <v>67</v>
      </c>
      <c r="C507" s="8">
        <v>5000</v>
      </c>
      <c r="D507" s="7" t="s">
        <v>152</v>
      </c>
      <c r="E507" s="7" t="s">
        <v>20</v>
      </c>
    </row>
    <row r="508" spans="1:5" ht="12.75">
      <c r="A508" s="6" t="str">
        <f>HYPERLINK(SUBSTITUTE(T(hl_0),"{0}","900327597160587"),hn_0)</f>
        <v>ОВ</v>
      </c>
      <c r="B508" s="7" t="s">
        <v>67</v>
      </c>
      <c r="C508" s="8">
        <v>5000</v>
      </c>
      <c r="D508" s="7" t="s">
        <v>152</v>
      </c>
      <c r="E508" s="7" t="s">
        <v>20</v>
      </c>
    </row>
    <row r="509" spans="1:5" ht="12.75">
      <c r="A509" s="6" t="str">
        <f>HYPERLINK(SUBSTITUTE(T(hl_0),"{0}","900327467941716"),hn_0)</f>
        <v>ОВ</v>
      </c>
      <c r="B509" s="7" t="s">
        <v>67</v>
      </c>
      <c r="C509" s="8">
        <v>5000</v>
      </c>
      <c r="D509" s="7" t="s">
        <v>76</v>
      </c>
      <c r="E509" s="7" t="s">
        <v>20</v>
      </c>
    </row>
    <row r="510" spans="1:5" ht="12.75">
      <c r="A510" s="6" t="str">
        <f>HYPERLINK(SUBSTITUTE(T(hl_0),"{0}","900327467941716"),hn_0)</f>
        <v>ОВ</v>
      </c>
      <c r="B510" s="7" t="s">
        <v>67</v>
      </c>
      <c r="C510" s="8">
        <v>5000</v>
      </c>
      <c r="D510" s="7" t="s">
        <v>76</v>
      </c>
      <c r="E510" s="7" t="s">
        <v>20</v>
      </c>
    </row>
    <row r="511" spans="1:5" ht="12.75">
      <c r="A511" s="6" t="str">
        <f>HYPERLINK(SUBSTITUTE(T(hl_0),"{0}","900327486044090"),hn_0)</f>
        <v>ОВ</v>
      </c>
      <c r="B511" s="7" t="s">
        <v>67</v>
      </c>
      <c r="C511" s="8">
        <v>5000</v>
      </c>
      <c r="D511" s="7" t="s">
        <v>124</v>
      </c>
      <c r="E511" s="7" t="s">
        <v>20</v>
      </c>
    </row>
    <row r="512" spans="1:5" ht="12.75">
      <c r="A512" s="6" t="str">
        <f>HYPERLINK(SUBSTITUTE(T(hl_0),"{0}","900327486044090"),hn_0)</f>
        <v>ОВ</v>
      </c>
      <c r="B512" s="7" t="s">
        <v>67</v>
      </c>
      <c r="C512" s="8">
        <v>5000</v>
      </c>
      <c r="D512" s="7" t="s">
        <v>124</v>
      </c>
      <c r="E512" s="7" t="s">
        <v>20</v>
      </c>
    </row>
    <row r="513" spans="1:5" ht="12.75">
      <c r="A513" s="6" t="str">
        <f>HYPERLINK(SUBSTITUTE(T(hl_0),"{0}","900327619132664"),hn_0)</f>
        <v>ОВ</v>
      </c>
      <c r="B513" s="7" t="s">
        <v>67</v>
      </c>
      <c r="C513" s="8">
        <v>5000</v>
      </c>
      <c r="D513" s="7" t="s">
        <v>153</v>
      </c>
      <c r="E513" s="7" t="s">
        <v>20</v>
      </c>
    </row>
    <row r="514" spans="1:5" ht="12.75">
      <c r="A514" s="6" t="str">
        <f>HYPERLINK(SUBSTITUTE(T(hl_0),"{0}","900327619132664"),hn_0)</f>
        <v>ОВ</v>
      </c>
      <c r="B514" s="7" t="s">
        <v>67</v>
      </c>
      <c r="C514" s="8">
        <v>5000</v>
      </c>
      <c r="D514" s="7" t="s">
        <v>153</v>
      </c>
      <c r="E514" s="7" t="s">
        <v>20</v>
      </c>
    </row>
    <row r="515" spans="1:5" ht="12.75">
      <c r="A515" s="6" t="str">
        <f>HYPERLINK(SUBSTITUTE(T(hl_0),"{0}","900327535676822"),hn_0)</f>
        <v>ОВ</v>
      </c>
      <c r="B515" s="7" t="s">
        <v>67</v>
      </c>
      <c r="C515" s="8">
        <v>5000</v>
      </c>
      <c r="D515" s="7" t="s">
        <v>154</v>
      </c>
      <c r="E515" s="7" t="s">
        <v>20</v>
      </c>
    </row>
    <row r="516" spans="1:5" ht="12.75">
      <c r="A516" s="6" t="str">
        <f>HYPERLINK(SUBSTITUTE(T(hl_0),"{0}","900327535676822"),hn_0)</f>
        <v>ОВ</v>
      </c>
      <c r="B516" s="7" t="s">
        <v>67</v>
      </c>
      <c r="C516" s="8">
        <v>5000</v>
      </c>
      <c r="D516" s="7" t="s">
        <v>154</v>
      </c>
      <c r="E516" s="7" t="s">
        <v>20</v>
      </c>
    </row>
    <row r="517" spans="1:5" ht="12.75">
      <c r="A517" s="6" t="str">
        <f>HYPERLINK(SUBSTITUTE(T(hl_0),"{0}","900327362297282"),hn_0)</f>
        <v>ОВ</v>
      </c>
      <c r="B517" s="7" t="s">
        <v>67</v>
      </c>
      <c r="C517" s="8">
        <v>5000</v>
      </c>
      <c r="D517" s="7" t="s">
        <v>120</v>
      </c>
      <c r="E517" s="7" t="s">
        <v>20</v>
      </c>
    </row>
    <row r="518" spans="1:5" ht="12.75">
      <c r="A518" s="6" t="str">
        <f>HYPERLINK(SUBSTITUTE(T(hl_0),"{0}","900327362297282"),hn_0)</f>
        <v>ОВ</v>
      </c>
      <c r="B518" s="7" t="s">
        <v>67</v>
      </c>
      <c r="C518" s="8">
        <v>5000</v>
      </c>
      <c r="D518" s="7" t="s">
        <v>120</v>
      </c>
      <c r="E518" s="7" t="s">
        <v>20</v>
      </c>
    </row>
    <row r="519" spans="1:5" ht="12.75">
      <c r="A519" s="6" t="str">
        <f>HYPERLINK(SUBSTITUTE(T(hl_0),"{0}","900327534089472"),hn_0)</f>
        <v>ОВ</v>
      </c>
      <c r="B519" s="7" t="s">
        <v>67</v>
      </c>
      <c r="C519" s="8">
        <v>5000</v>
      </c>
      <c r="D519" s="7" t="s">
        <v>75</v>
      </c>
      <c r="E519" s="7" t="s">
        <v>20</v>
      </c>
    </row>
    <row r="520" spans="1:5" ht="12.75">
      <c r="A520" s="6" t="str">
        <f>HYPERLINK(SUBSTITUTE(T(hl_0),"{0}","900327534089472"),hn_0)</f>
        <v>ОВ</v>
      </c>
      <c r="B520" s="7" t="s">
        <v>67</v>
      </c>
      <c r="C520" s="8">
        <v>5000</v>
      </c>
      <c r="D520" s="7" t="s">
        <v>75</v>
      </c>
      <c r="E520" s="7" t="s">
        <v>20</v>
      </c>
    </row>
    <row r="521" spans="1:5" ht="12.75">
      <c r="A521" s="6" t="str">
        <f>HYPERLINK(SUBSTITUTE(T(hl_0),"{0}","900327619025441"),hn_0)</f>
        <v>ОВ</v>
      </c>
      <c r="B521" s="7" t="s">
        <v>67</v>
      </c>
      <c r="C521" s="8">
        <v>5000</v>
      </c>
      <c r="D521" s="7" t="s">
        <v>131</v>
      </c>
      <c r="E521" s="7" t="s">
        <v>20</v>
      </c>
    </row>
    <row r="522" spans="1:5" ht="12.75">
      <c r="A522" s="6" t="str">
        <f>HYPERLINK(SUBSTITUTE(T(hl_0),"{0}","900327619025441"),hn_0)</f>
        <v>ОВ</v>
      </c>
      <c r="B522" s="7" t="s">
        <v>67</v>
      </c>
      <c r="C522" s="8">
        <v>5000</v>
      </c>
      <c r="D522" s="7" t="s">
        <v>131</v>
      </c>
      <c r="E522" s="7" t="s">
        <v>20</v>
      </c>
    </row>
    <row r="523" spans="1:5" ht="12.75">
      <c r="A523" s="6" t="str">
        <f>HYPERLINK(SUBSTITUTE(T(hl_0),"{0}","900327362303980"),hn_0)</f>
        <v>ОВ</v>
      </c>
      <c r="B523" s="7" t="s">
        <v>67</v>
      </c>
      <c r="C523" s="8">
        <v>5000</v>
      </c>
      <c r="D523" s="7" t="s">
        <v>135</v>
      </c>
      <c r="E523" s="7" t="s">
        <v>20</v>
      </c>
    </row>
    <row r="524" spans="1:5" ht="12.75">
      <c r="A524" s="6" t="str">
        <f>HYPERLINK(SUBSTITUTE(T(hl_0),"{0}","900327362303980"),hn_0)</f>
        <v>ОВ</v>
      </c>
      <c r="B524" s="7" t="s">
        <v>67</v>
      </c>
      <c r="C524" s="8">
        <v>5000</v>
      </c>
      <c r="D524" s="7" t="s">
        <v>135</v>
      </c>
      <c r="E524" s="7" t="s">
        <v>20</v>
      </c>
    </row>
    <row r="525" spans="1:5" ht="12.75">
      <c r="A525" s="6" t="str">
        <f>HYPERLINK(SUBSTITUTE(T(hl_0),"{0}","900327597792694"),hn_0)</f>
        <v>ОВ</v>
      </c>
      <c r="B525" s="7" t="s">
        <v>67</v>
      </c>
      <c r="C525" s="8">
        <v>5000</v>
      </c>
      <c r="D525" s="7" t="s">
        <v>92</v>
      </c>
      <c r="E525" s="7" t="s">
        <v>20</v>
      </c>
    </row>
    <row r="526" spans="1:5" ht="12.75">
      <c r="A526" s="6" t="str">
        <f>HYPERLINK(SUBSTITUTE(T(hl_0),"{0}","900327597792694"),hn_0)</f>
        <v>ОВ</v>
      </c>
      <c r="B526" s="7" t="s">
        <v>67</v>
      </c>
      <c r="C526" s="8">
        <v>5000</v>
      </c>
      <c r="D526" s="7" t="s">
        <v>92</v>
      </c>
      <c r="E526" s="7" t="s">
        <v>20</v>
      </c>
    </row>
    <row r="527" spans="1:5" ht="12.75">
      <c r="A527" s="6" t="str">
        <f>HYPERLINK(SUBSTITUTE(T(hl_0),"{0}","900327362786591"),hn_0)</f>
        <v>ОВ</v>
      </c>
      <c r="B527" s="7" t="s">
        <v>67</v>
      </c>
      <c r="C527" s="8">
        <v>5000</v>
      </c>
      <c r="D527" s="7" t="s">
        <v>155</v>
      </c>
      <c r="E527" s="7" t="s">
        <v>20</v>
      </c>
    </row>
    <row r="528" spans="1:5" ht="12.75">
      <c r="A528" s="6" t="str">
        <f>HYPERLINK(SUBSTITUTE(T(hl_0),"{0}","900327362786591"),hn_0)</f>
        <v>ОВ</v>
      </c>
      <c r="B528" s="7" t="s">
        <v>67</v>
      </c>
      <c r="C528" s="8">
        <v>5000</v>
      </c>
      <c r="D528" s="7" t="s">
        <v>155</v>
      </c>
      <c r="E528" s="7" t="s">
        <v>20</v>
      </c>
    </row>
    <row r="529" spans="1:5" ht="12.75">
      <c r="A529" s="6" t="str">
        <f>HYPERLINK(SUBSTITUTE(T(hl_0),"{0}","900327468024745"),hn_0)</f>
        <v>ОВ</v>
      </c>
      <c r="B529" s="7" t="s">
        <v>67</v>
      </c>
      <c r="C529" s="8">
        <v>5000</v>
      </c>
      <c r="D529" s="7" t="s">
        <v>142</v>
      </c>
      <c r="E529" s="7" t="s">
        <v>20</v>
      </c>
    </row>
    <row r="530" spans="1:5" ht="12.75">
      <c r="A530" s="6" t="str">
        <f>HYPERLINK(SUBSTITUTE(T(hl_0),"{0}","900327468024745"),hn_0)</f>
        <v>ОВ</v>
      </c>
      <c r="B530" s="7" t="s">
        <v>67</v>
      </c>
      <c r="C530" s="8">
        <v>5000</v>
      </c>
      <c r="D530" s="7" t="s">
        <v>142</v>
      </c>
      <c r="E530" s="7" t="s">
        <v>20</v>
      </c>
    </row>
    <row r="531" spans="1:5" ht="12.75">
      <c r="A531" s="6" t="str">
        <f>HYPERLINK(SUBSTITUTE(T(hl_0),"{0}","900327486962375"),hn_0)</f>
        <v>ОВ</v>
      </c>
      <c r="B531" s="7" t="s">
        <v>67</v>
      </c>
      <c r="C531" s="8">
        <v>5000</v>
      </c>
      <c r="D531" s="7" t="s">
        <v>126</v>
      </c>
      <c r="E531" s="7" t="s">
        <v>20</v>
      </c>
    </row>
    <row r="532" spans="1:5" ht="12.75">
      <c r="A532" s="6" t="str">
        <f>HYPERLINK(SUBSTITUTE(T(hl_0),"{0}","900327486962375"),hn_0)</f>
        <v>ОВ</v>
      </c>
      <c r="B532" s="7" t="s">
        <v>67</v>
      </c>
      <c r="C532" s="8">
        <v>5000</v>
      </c>
      <c r="D532" s="7" t="s">
        <v>126</v>
      </c>
      <c r="E532" s="7" t="s">
        <v>20</v>
      </c>
    </row>
    <row r="533" spans="1:5" ht="12.75">
      <c r="A533" s="6" t="str">
        <f>HYPERLINK(SUBSTITUTE(T(hl_0),"{0}","900327467891702"),hn_0)</f>
        <v>ОВ</v>
      </c>
      <c r="B533" s="7" t="s">
        <v>67</v>
      </c>
      <c r="C533" s="8">
        <v>5000</v>
      </c>
      <c r="D533" s="7" t="s">
        <v>126</v>
      </c>
      <c r="E533" s="7" t="s">
        <v>20</v>
      </c>
    </row>
    <row r="534" spans="1:5" ht="12.75">
      <c r="A534" s="6" t="str">
        <f>HYPERLINK(SUBSTITUTE(T(hl_0),"{0}","900327467891702"),hn_0)</f>
        <v>ОВ</v>
      </c>
      <c r="B534" s="7" t="s">
        <v>67</v>
      </c>
      <c r="C534" s="8">
        <v>5000</v>
      </c>
      <c r="D534" s="7" t="s">
        <v>126</v>
      </c>
      <c r="E534" s="7" t="s">
        <v>20</v>
      </c>
    </row>
    <row r="535" spans="1:5" ht="12.75">
      <c r="A535" s="6" t="str">
        <f>HYPERLINK(SUBSTITUTE(T(hl_0),"{0}","900327535590788"),hn_0)</f>
        <v>ОВ</v>
      </c>
      <c r="B535" s="7" t="s">
        <v>67</v>
      </c>
      <c r="C535" s="8">
        <v>5000</v>
      </c>
      <c r="D535" s="7" t="s">
        <v>88</v>
      </c>
      <c r="E535" s="7" t="s">
        <v>20</v>
      </c>
    </row>
    <row r="536" spans="1:5" ht="12.75">
      <c r="A536" s="6" t="str">
        <f>HYPERLINK(SUBSTITUTE(T(hl_0),"{0}","900327535590788"),hn_0)</f>
        <v>ОВ</v>
      </c>
      <c r="B536" s="7" t="s">
        <v>67</v>
      </c>
      <c r="C536" s="8">
        <v>5000</v>
      </c>
      <c r="D536" s="7" t="s">
        <v>88</v>
      </c>
      <c r="E536" s="7" t="s">
        <v>20</v>
      </c>
    </row>
    <row r="537" spans="1:5" ht="12.75">
      <c r="A537" s="6" t="str">
        <f>HYPERLINK(SUBSTITUTE(T(hl_0),"{0}","900327598487151"),hn_0)</f>
        <v>ОВ</v>
      </c>
      <c r="B537" s="7" t="s">
        <v>67</v>
      </c>
      <c r="C537" s="8">
        <v>5000</v>
      </c>
      <c r="D537" s="7" t="s">
        <v>99</v>
      </c>
      <c r="E537" s="7" t="s">
        <v>20</v>
      </c>
    </row>
    <row r="538" spans="1:5" ht="12.75">
      <c r="A538" s="6" t="str">
        <f>HYPERLINK(SUBSTITUTE(T(hl_0),"{0}","900327598487151"),hn_0)</f>
        <v>ОВ</v>
      </c>
      <c r="B538" s="7" t="s">
        <v>67</v>
      </c>
      <c r="C538" s="8">
        <v>5000</v>
      </c>
      <c r="D538" s="7" t="s">
        <v>99</v>
      </c>
      <c r="E538" s="7" t="s">
        <v>20</v>
      </c>
    </row>
    <row r="539" spans="1:5" ht="12.75">
      <c r="A539" s="6" t="str">
        <f>HYPERLINK(SUBSTITUTE(T(hl_0),"{0}","900327619033343"),hn_0)</f>
        <v>ОВ</v>
      </c>
      <c r="B539" s="7" t="s">
        <v>67</v>
      </c>
      <c r="C539" s="8">
        <v>5000</v>
      </c>
      <c r="D539" s="7" t="s">
        <v>131</v>
      </c>
      <c r="E539" s="7" t="s">
        <v>20</v>
      </c>
    </row>
    <row r="540" spans="1:5" ht="12.75">
      <c r="A540" s="6" t="str">
        <f>HYPERLINK(SUBSTITUTE(T(hl_0),"{0}","900327619033343"),hn_0)</f>
        <v>ОВ</v>
      </c>
      <c r="B540" s="7" t="s">
        <v>67</v>
      </c>
      <c r="C540" s="8">
        <v>5000</v>
      </c>
      <c r="D540" s="7" t="s">
        <v>131</v>
      </c>
      <c r="E540" s="7" t="s">
        <v>20</v>
      </c>
    </row>
    <row r="541" spans="1:5" ht="12.75">
      <c r="A541" s="6" t="str">
        <f>HYPERLINK(SUBSTITUTE(T(hl_0),"{0}","900327534766111"),hn_0)</f>
        <v>ОВ</v>
      </c>
      <c r="B541" s="7" t="s">
        <v>67</v>
      </c>
      <c r="C541" s="8">
        <v>5000</v>
      </c>
      <c r="D541" s="7" t="s">
        <v>116</v>
      </c>
      <c r="E541" s="7" t="s">
        <v>20</v>
      </c>
    </row>
    <row r="542" spans="1:5" ht="12.75">
      <c r="A542" s="6" t="str">
        <f>HYPERLINK(SUBSTITUTE(T(hl_0),"{0}","900327534766111"),hn_0)</f>
        <v>ОВ</v>
      </c>
      <c r="B542" s="7" t="s">
        <v>67</v>
      </c>
      <c r="C542" s="8">
        <v>5000</v>
      </c>
      <c r="D542" s="7" t="s">
        <v>116</v>
      </c>
      <c r="E542" s="7" t="s">
        <v>20</v>
      </c>
    </row>
    <row r="543" spans="1:5" ht="12.75">
      <c r="A543" s="6" t="str">
        <f>HYPERLINK(SUBSTITUTE(T(hl_0),"{0}","900327598649125"),hn_0)</f>
        <v>ОВ</v>
      </c>
      <c r="B543" s="7" t="s">
        <v>67</v>
      </c>
      <c r="C543" s="8">
        <v>5000</v>
      </c>
      <c r="D543" s="7" t="s">
        <v>80</v>
      </c>
      <c r="E543" s="7" t="s">
        <v>20</v>
      </c>
    </row>
    <row r="544" spans="1:5" ht="12.75">
      <c r="A544" s="6" t="str">
        <f>HYPERLINK(SUBSTITUTE(T(hl_0),"{0}","900327598649125"),hn_0)</f>
        <v>ОВ</v>
      </c>
      <c r="B544" s="7" t="s">
        <v>67</v>
      </c>
      <c r="C544" s="8">
        <v>5000</v>
      </c>
      <c r="D544" s="7" t="s">
        <v>80</v>
      </c>
      <c r="E544" s="7" t="s">
        <v>20</v>
      </c>
    </row>
    <row r="545" spans="1:5" ht="12.75">
      <c r="A545" s="6" t="str">
        <f>HYPERLINK(SUBSTITUTE(T(hl_0),"{0}","900327359515331"),hn_0)</f>
        <v>ОВ</v>
      </c>
      <c r="B545" s="7" t="s">
        <v>67</v>
      </c>
      <c r="C545" s="8">
        <v>5000</v>
      </c>
      <c r="D545" s="7" t="s">
        <v>121</v>
      </c>
      <c r="E545" s="7" t="s">
        <v>20</v>
      </c>
    </row>
    <row r="546" spans="1:5" ht="12.75">
      <c r="A546" s="6" t="str">
        <f>HYPERLINK(SUBSTITUTE(T(hl_0),"{0}","900327359515331"),hn_0)</f>
        <v>ОВ</v>
      </c>
      <c r="B546" s="7" t="s">
        <v>67</v>
      </c>
      <c r="C546" s="8">
        <v>5000</v>
      </c>
      <c r="D546" s="7" t="s">
        <v>121</v>
      </c>
      <c r="E546" s="7" t="s">
        <v>20</v>
      </c>
    </row>
    <row r="547" spans="1:5" ht="12.75">
      <c r="A547" s="6" t="str">
        <f>HYPERLINK(SUBSTITUTE(T(hl_0),"{0}","900327599098909"),hn_0)</f>
        <v>ОВ</v>
      </c>
      <c r="B547" s="7" t="s">
        <v>67</v>
      </c>
      <c r="C547" s="8">
        <v>5000</v>
      </c>
      <c r="D547" s="7" t="s">
        <v>92</v>
      </c>
      <c r="E547" s="7" t="s">
        <v>20</v>
      </c>
    </row>
    <row r="548" spans="1:5" ht="12.75">
      <c r="A548" s="6" t="str">
        <f>HYPERLINK(SUBSTITUTE(T(hl_0),"{0}","900327599098909"),hn_0)</f>
        <v>ОВ</v>
      </c>
      <c r="B548" s="7" t="s">
        <v>67</v>
      </c>
      <c r="C548" s="8">
        <v>5000</v>
      </c>
      <c r="D548" s="7" t="s">
        <v>92</v>
      </c>
      <c r="E548" s="7" t="s">
        <v>20</v>
      </c>
    </row>
    <row r="549" spans="1:5" ht="12.75">
      <c r="A549" s="6" t="str">
        <f>HYPERLINK(SUBSTITUTE(T(hl_0),"{0}","900327359971088"),hn_0)</f>
        <v>ОВ</v>
      </c>
      <c r="B549" s="7" t="s">
        <v>67</v>
      </c>
      <c r="C549" s="8">
        <v>5000</v>
      </c>
      <c r="D549" s="7" t="s">
        <v>156</v>
      </c>
      <c r="E549" s="7" t="s">
        <v>20</v>
      </c>
    </row>
    <row r="550" spans="1:5" ht="12.75">
      <c r="A550" s="6" t="str">
        <f>HYPERLINK(SUBSTITUTE(T(hl_0),"{0}","900327359971088"),hn_0)</f>
        <v>ОВ</v>
      </c>
      <c r="B550" s="7" t="s">
        <v>67</v>
      </c>
      <c r="C550" s="8">
        <v>5000</v>
      </c>
      <c r="D550" s="7" t="s">
        <v>156</v>
      </c>
      <c r="E550" s="7" t="s">
        <v>20</v>
      </c>
    </row>
    <row r="551" spans="1:5" ht="12.75">
      <c r="A551" s="6" t="str">
        <f>HYPERLINK(SUBSTITUTE(T(hl_0),"{0}","900327536250444"),hn_0)</f>
        <v>ОВ</v>
      </c>
      <c r="B551" s="7" t="s">
        <v>67</v>
      </c>
      <c r="C551" s="8">
        <v>5000</v>
      </c>
      <c r="D551" s="7" t="s">
        <v>157</v>
      </c>
      <c r="E551" s="7" t="s">
        <v>20</v>
      </c>
    </row>
    <row r="552" spans="1:5" ht="12.75">
      <c r="A552" s="6" t="str">
        <f>HYPERLINK(SUBSTITUTE(T(hl_0),"{0}","900327536250444"),hn_0)</f>
        <v>ОВ</v>
      </c>
      <c r="B552" s="7" t="s">
        <v>67</v>
      </c>
      <c r="C552" s="8">
        <v>5000</v>
      </c>
      <c r="D552" s="7" t="s">
        <v>157</v>
      </c>
      <c r="E552" s="7" t="s">
        <v>20</v>
      </c>
    </row>
    <row r="553" spans="1:5" ht="12.75">
      <c r="A553" s="6" t="str">
        <f>HYPERLINK(SUBSTITUTE(T(hl_0),"{0}","900327597324880"),hn_0)</f>
        <v>ОВ</v>
      </c>
      <c r="B553" s="7" t="s">
        <v>67</v>
      </c>
      <c r="C553" s="8">
        <v>5000</v>
      </c>
      <c r="D553" s="7" t="s">
        <v>158</v>
      </c>
      <c r="E553" s="7" t="s">
        <v>20</v>
      </c>
    </row>
    <row r="554" spans="1:5" ht="12.75">
      <c r="A554" s="6" t="str">
        <f>HYPERLINK(SUBSTITUTE(T(hl_0),"{0}","900327597324880"),hn_0)</f>
        <v>ОВ</v>
      </c>
      <c r="B554" s="7" t="s">
        <v>67</v>
      </c>
      <c r="C554" s="8">
        <v>5000</v>
      </c>
      <c r="D554" s="7" t="s">
        <v>158</v>
      </c>
      <c r="E554" s="7" t="s">
        <v>20</v>
      </c>
    </row>
    <row r="555" spans="1:5" ht="12.75">
      <c r="A555" s="6" t="str">
        <f>HYPERLINK(SUBSTITUTE(T(hl_0),"{0}","900327597341617"),hn_0)</f>
        <v>ОВ</v>
      </c>
      <c r="B555" s="7" t="s">
        <v>67</v>
      </c>
      <c r="C555" s="8">
        <v>5000</v>
      </c>
      <c r="D555" s="7" t="s">
        <v>122</v>
      </c>
      <c r="E555" s="7" t="s">
        <v>20</v>
      </c>
    </row>
    <row r="556" spans="1:5" ht="12.75">
      <c r="A556" s="6" t="str">
        <f>HYPERLINK(SUBSTITUTE(T(hl_0),"{0}","900327597341617"),hn_0)</f>
        <v>ОВ</v>
      </c>
      <c r="B556" s="7" t="s">
        <v>67</v>
      </c>
      <c r="C556" s="8">
        <v>5000</v>
      </c>
      <c r="D556" s="7" t="s">
        <v>122</v>
      </c>
      <c r="E556" s="7" t="s">
        <v>20</v>
      </c>
    </row>
    <row r="557" spans="1:5" ht="12.75">
      <c r="A557" s="6" t="str">
        <f>HYPERLINK(SUBSTITUTE(T(hl_0),"{0}","900327359566100"),hn_0)</f>
        <v>ОВ</v>
      </c>
      <c r="B557" s="7" t="s">
        <v>67</v>
      </c>
      <c r="C557" s="8">
        <v>5000</v>
      </c>
      <c r="D557" s="7" t="s">
        <v>147</v>
      </c>
      <c r="E557" s="7" t="s">
        <v>20</v>
      </c>
    </row>
    <row r="558" spans="1:5" ht="12.75">
      <c r="A558" s="6" t="str">
        <f>HYPERLINK(SUBSTITUTE(T(hl_0),"{0}","900327359566100"),hn_0)</f>
        <v>ОВ</v>
      </c>
      <c r="B558" s="7" t="s">
        <v>67</v>
      </c>
      <c r="C558" s="8">
        <v>5000</v>
      </c>
      <c r="D558" s="7" t="s">
        <v>147</v>
      </c>
      <c r="E558" s="7" t="s">
        <v>20</v>
      </c>
    </row>
    <row r="559" spans="1:5" ht="12.75">
      <c r="A559" s="6" t="str">
        <f>HYPERLINK(SUBSTITUTE(T(hl_0),"{0}","900327595369910"),hn_0)</f>
        <v>ОВ</v>
      </c>
      <c r="B559" s="7" t="s">
        <v>67</v>
      </c>
      <c r="C559" s="8">
        <v>5000</v>
      </c>
      <c r="D559" s="7" t="s">
        <v>92</v>
      </c>
      <c r="E559" s="7" t="s">
        <v>20</v>
      </c>
    </row>
    <row r="560" spans="1:5" ht="12.75">
      <c r="A560" s="6" t="str">
        <f>HYPERLINK(SUBSTITUTE(T(hl_0),"{0}","900327595369910"),hn_0)</f>
        <v>ОВ</v>
      </c>
      <c r="B560" s="7" t="s">
        <v>67</v>
      </c>
      <c r="C560" s="8">
        <v>5000</v>
      </c>
      <c r="D560" s="7" t="s">
        <v>92</v>
      </c>
      <c r="E560" s="7" t="s">
        <v>20</v>
      </c>
    </row>
    <row r="561" spans="1:5" ht="12.75">
      <c r="A561" s="6" t="str">
        <f>HYPERLINK(SUBSTITUTE(T(hl_0),"{0}","900327597356117"),hn_0)</f>
        <v>ОВ</v>
      </c>
      <c r="B561" s="7" t="s">
        <v>67</v>
      </c>
      <c r="C561" s="8">
        <v>5000</v>
      </c>
      <c r="D561" s="7" t="s">
        <v>122</v>
      </c>
      <c r="E561" s="7" t="s">
        <v>20</v>
      </c>
    </row>
    <row r="562" spans="1:5" ht="12.75">
      <c r="A562" s="6" t="str">
        <f>HYPERLINK(SUBSTITUTE(T(hl_0),"{0}","900327597356117"),hn_0)</f>
        <v>ОВ</v>
      </c>
      <c r="B562" s="7" t="s">
        <v>67</v>
      </c>
      <c r="C562" s="8">
        <v>5000</v>
      </c>
      <c r="D562" s="7" t="s">
        <v>122</v>
      </c>
      <c r="E562" s="7" t="s">
        <v>20</v>
      </c>
    </row>
    <row r="563" spans="1:5" ht="12.75">
      <c r="A563" s="6" t="str">
        <f>HYPERLINK(SUBSTITUTE(T(hl_0),"{0}","900327597452304"),hn_0)</f>
        <v>ОВ</v>
      </c>
      <c r="B563" s="7" t="s">
        <v>67</v>
      </c>
      <c r="C563" s="8">
        <v>5000</v>
      </c>
      <c r="D563" s="7" t="s">
        <v>159</v>
      </c>
      <c r="E563" s="7" t="s">
        <v>20</v>
      </c>
    </row>
    <row r="564" spans="1:5" ht="12.75">
      <c r="A564" s="6" t="str">
        <f>HYPERLINK(SUBSTITUTE(T(hl_0),"{0}","900327597452304"),hn_0)</f>
        <v>ОВ</v>
      </c>
      <c r="B564" s="7" t="s">
        <v>67</v>
      </c>
      <c r="C564" s="8">
        <v>5000</v>
      </c>
      <c r="D564" s="7" t="s">
        <v>159</v>
      </c>
      <c r="E564" s="7" t="s">
        <v>20</v>
      </c>
    </row>
    <row r="565" spans="1:5" ht="12.75">
      <c r="A565" s="6" t="str">
        <f>HYPERLINK(SUBSTITUTE(T(hl_0),"{0}","900327619748663"),hn_0)</f>
        <v>ОВ</v>
      </c>
      <c r="B565" s="7" t="s">
        <v>67</v>
      </c>
      <c r="C565" s="8">
        <v>5000</v>
      </c>
      <c r="D565" s="7" t="s">
        <v>81</v>
      </c>
      <c r="E565" s="7" t="s">
        <v>20</v>
      </c>
    </row>
    <row r="566" spans="1:5" ht="12.75">
      <c r="A566" s="6" t="str">
        <f>HYPERLINK(SUBSTITUTE(T(hl_0),"{0}","900327619748663"),hn_0)</f>
        <v>ОВ</v>
      </c>
      <c r="B566" s="7" t="s">
        <v>67</v>
      </c>
      <c r="C566" s="8">
        <v>5000</v>
      </c>
      <c r="D566" s="7" t="s">
        <v>81</v>
      </c>
      <c r="E566" s="7" t="s">
        <v>20</v>
      </c>
    </row>
    <row r="567" spans="1:5" ht="12.75">
      <c r="A567" s="6" t="str">
        <f>HYPERLINK(SUBSTITUTE(T(hl_0),"{0}","900327598284012"),hn_0)</f>
        <v>ОВ</v>
      </c>
      <c r="B567" s="7" t="s">
        <v>67</v>
      </c>
      <c r="C567" s="8">
        <v>5000</v>
      </c>
      <c r="D567" s="7" t="s">
        <v>92</v>
      </c>
      <c r="E567" s="7" t="s">
        <v>20</v>
      </c>
    </row>
    <row r="568" spans="1:5" ht="12.75">
      <c r="A568" s="6" t="str">
        <f>HYPERLINK(SUBSTITUTE(T(hl_0),"{0}","900327598284012"),hn_0)</f>
        <v>ОВ</v>
      </c>
      <c r="B568" s="7" t="s">
        <v>67</v>
      </c>
      <c r="C568" s="8">
        <v>5000</v>
      </c>
      <c r="D568" s="7" t="s">
        <v>92</v>
      </c>
      <c r="E568" s="7" t="s">
        <v>20</v>
      </c>
    </row>
    <row r="569" spans="1:5" ht="12.75">
      <c r="A569" s="6" t="str">
        <f>HYPERLINK(SUBSTITUTE(T(hl_0),"{0}","900327534833690"),hn_0)</f>
        <v>ОВ</v>
      </c>
      <c r="B569" s="7" t="s">
        <v>67</v>
      </c>
      <c r="C569" s="8">
        <v>5000</v>
      </c>
      <c r="D569" s="7" t="s">
        <v>116</v>
      </c>
      <c r="E569" s="7" t="s">
        <v>20</v>
      </c>
    </row>
    <row r="570" spans="1:5" ht="12.75">
      <c r="A570" s="6" t="str">
        <f>HYPERLINK(SUBSTITUTE(T(hl_0),"{0}","900327534833690"),hn_0)</f>
        <v>ОВ</v>
      </c>
      <c r="B570" s="7" t="s">
        <v>67</v>
      </c>
      <c r="C570" s="8">
        <v>5000</v>
      </c>
      <c r="D570" s="7" t="s">
        <v>116</v>
      </c>
      <c r="E570" s="7" t="s">
        <v>20</v>
      </c>
    </row>
    <row r="571" spans="1:5" ht="12.75">
      <c r="A571" s="6" t="str">
        <f>HYPERLINK(SUBSTITUTE(T(hl_0),"{0}","900327619121676"),hn_0)</f>
        <v>ОВ</v>
      </c>
      <c r="B571" s="7" t="s">
        <v>67</v>
      </c>
      <c r="C571" s="8">
        <v>5000</v>
      </c>
      <c r="D571" s="7" t="s">
        <v>153</v>
      </c>
      <c r="E571" s="7" t="s">
        <v>20</v>
      </c>
    </row>
    <row r="572" spans="1:5" ht="12.75">
      <c r="A572" s="6" t="str">
        <f>HYPERLINK(SUBSTITUTE(T(hl_0),"{0}","900327619121676"),hn_0)</f>
        <v>ОВ</v>
      </c>
      <c r="B572" s="7" t="s">
        <v>67</v>
      </c>
      <c r="C572" s="8">
        <v>5000</v>
      </c>
      <c r="D572" s="7" t="s">
        <v>153</v>
      </c>
      <c r="E572" s="7" t="s">
        <v>20</v>
      </c>
    </row>
    <row r="573" spans="1:5" ht="12.75">
      <c r="A573" s="6" t="str">
        <f>HYPERLINK(SUBSTITUTE(T(hl_0),"{0}","900327596336815"),hn_0)</f>
        <v>ОВ</v>
      </c>
      <c r="B573" s="7" t="s">
        <v>67</v>
      </c>
      <c r="C573" s="8">
        <v>5000</v>
      </c>
      <c r="D573" s="7" t="s">
        <v>160</v>
      </c>
      <c r="E573" s="7" t="s">
        <v>20</v>
      </c>
    </row>
    <row r="574" spans="1:5" ht="12.75">
      <c r="A574" s="6" t="str">
        <f>HYPERLINK(SUBSTITUTE(T(hl_0),"{0}","900327596336815"),hn_0)</f>
        <v>ОВ</v>
      </c>
      <c r="B574" s="7" t="s">
        <v>67</v>
      </c>
      <c r="C574" s="8">
        <v>5000</v>
      </c>
      <c r="D574" s="7" t="s">
        <v>160</v>
      </c>
      <c r="E574" s="7" t="s">
        <v>20</v>
      </c>
    </row>
    <row r="575" spans="1:5" ht="12.75">
      <c r="A575" s="6" t="str">
        <f>HYPERLINK(SUBSTITUTE(T(hl_0),"{0}","900327534089435"),hn_0)</f>
        <v>ОВ</v>
      </c>
      <c r="B575" s="7" t="s">
        <v>67</v>
      </c>
      <c r="C575" s="8">
        <v>5000</v>
      </c>
      <c r="D575" s="7" t="s">
        <v>75</v>
      </c>
      <c r="E575" s="7" t="s">
        <v>20</v>
      </c>
    </row>
    <row r="576" spans="1:5" ht="12.75">
      <c r="A576" s="6" t="str">
        <f>HYPERLINK(SUBSTITUTE(T(hl_0),"{0}","900327534089435"),hn_0)</f>
        <v>ОВ</v>
      </c>
      <c r="B576" s="7" t="s">
        <v>67</v>
      </c>
      <c r="C576" s="8">
        <v>5000</v>
      </c>
      <c r="D576" s="7" t="s">
        <v>75</v>
      </c>
      <c r="E576" s="7" t="s">
        <v>20</v>
      </c>
    </row>
    <row r="577" spans="1:5" ht="12.75">
      <c r="A577" s="6" t="str">
        <f>HYPERLINK(SUBSTITUTE(T(hl_0),"{0}","900327598005064"),hn_0)</f>
        <v>ОВ</v>
      </c>
      <c r="B577" s="7" t="s">
        <v>67</v>
      </c>
      <c r="C577" s="8">
        <v>5000</v>
      </c>
      <c r="D577" s="7" t="s">
        <v>81</v>
      </c>
      <c r="E577" s="7" t="s">
        <v>20</v>
      </c>
    </row>
    <row r="578" spans="1:5" ht="12.75">
      <c r="A578" s="6" t="str">
        <f>HYPERLINK(SUBSTITUTE(T(hl_0),"{0}","900327598005064"),hn_0)</f>
        <v>ОВ</v>
      </c>
      <c r="B578" s="7" t="s">
        <v>67</v>
      </c>
      <c r="C578" s="8">
        <v>5000</v>
      </c>
      <c r="D578" s="7" t="s">
        <v>81</v>
      </c>
      <c r="E578" s="7" t="s">
        <v>20</v>
      </c>
    </row>
    <row r="579" spans="1:5" ht="12.75">
      <c r="A579" s="6" t="str">
        <f>HYPERLINK(SUBSTITUTE(T(hl_0),"{0}","900327598096518"),hn_0)</f>
        <v>ОВ</v>
      </c>
      <c r="B579" s="7" t="s">
        <v>67</v>
      </c>
      <c r="C579" s="8">
        <v>5000</v>
      </c>
      <c r="D579" s="7" t="s">
        <v>81</v>
      </c>
      <c r="E579" s="7" t="s">
        <v>20</v>
      </c>
    </row>
    <row r="580" spans="1:5" ht="12.75">
      <c r="A580" s="6" t="str">
        <f>HYPERLINK(SUBSTITUTE(T(hl_0),"{0}","900327598096518"),hn_0)</f>
        <v>ОВ</v>
      </c>
      <c r="B580" s="7" t="s">
        <v>67</v>
      </c>
      <c r="C580" s="8">
        <v>5000</v>
      </c>
      <c r="D580" s="7" t="s">
        <v>81</v>
      </c>
      <c r="E580" s="7" t="s">
        <v>20</v>
      </c>
    </row>
    <row r="581" spans="1:5" ht="12.75">
      <c r="A581" s="6" t="str">
        <f>HYPERLINK(SUBSTITUTE(T(hl_0),"{0}","900327512966719"),hn_0)</f>
        <v>ОВ</v>
      </c>
      <c r="B581" s="7" t="s">
        <v>67</v>
      </c>
      <c r="C581" s="8">
        <v>5000</v>
      </c>
      <c r="D581" s="7" t="s">
        <v>95</v>
      </c>
      <c r="E581" s="7" t="s">
        <v>20</v>
      </c>
    </row>
    <row r="582" spans="1:5" ht="12.75">
      <c r="A582" s="6" t="str">
        <f>HYPERLINK(SUBSTITUTE(T(hl_0),"{0}","900327512966719"),hn_0)</f>
        <v>ОВ</v>
      </c>
      <c r="B582" s="7" t="s">
        <v>67</v>
      </c>
      <c r="C582" s="8">
        <v>5000</v>
      </c>
      <c r="D582" s="7" t="s">
        <v>95</v>
      </c>
      <c r="E582" s="7" t="s">
        <v>20</v>
      </c>
    </row>
    <row r="583" spans="1:5" ht="12.75">
      <c r="A583" s="6" t="str">
        <f>HYPERLINK(SUBSTITUTE(T(hl_0),"{0}","900327513065901"),hn_0)</f>
        <v>ОВ</v>
      </c>
      <c r="B583" s="7" t="s">
        <v>67</v>
      </c>
      <c r="C583" s="8">
        <v>5000</v>
      </c>
      <c r="D583" s="7" t="s">
        <v>161</v>
      </c>
      <c r="E583" s="7" t="s">
        <v>20</v>
      </c>
    </row>
    <row r="584" spans="1:5" ht="12.75">
      <c r="A584" s="6" t="str">
        <f>HYPERLINK(SUBSTITUTE(T(hl_0),"{0}","900327513065901"),hn_0)</f>
        <v>ОВ</v>
      </c>
      <c r="B584" s="7" t="s">
        <v>67</v>
      </c>
      <c r="C584" s="8">
        <v>5000</v>
      </c>
      <c r="D584" s="7" t="s">
        <v>161</v>
      </c>
      <c r="E584" s="7" t="s">
        <v>20</v>
      </c>
    </row>
    <row r="585" spans="1:5" ht="12.75">
      <c r="A585" s="6" t="str">
        <f>HYPERLINK(SUBSTITUTE(T(hl_0),"{0}","900327513106993"),hn_0)</f>
        <v>ОВ</v>
      </c>
      <c r="B585" s="7" t="s">
        <v>67</v>
      </c>
      <c r="C585" s="8">
        <v>5000</v>
      </c>
      <c r="D585" s="7" t="s">
        <v>162</v>
      </c>
      <c r="E585" s="7" t="s">
        <v>20</v>
      </c>
    </row>
    <row r="586" spans="1:5" ht="12.75">
      <c r="A586" s="6" t="str">
        <f>HYPERLINK(SUBSTITUTE(T(hl_0),"{0}","900327513106993"),hn_0)</f>
        <v>ОВ</v>
      </c>
      <c r="B586" s="7" t="s">
        <v>67</v>
      </c>
      <c r="C586" s="8">
        <v>5000</v>
      </c>
      <c r="D586" s="7" t="s">
        <v>162</v>
      </c>
      <c r="E586" s="7" t="s">
        <v>20</v>
      </c>
    </row>
    <row r="587" spans="1:5" ht="12.75">
      <c r="A587" s="6" t="str">
        <f>HYPERLINK(SUBSTITUTE(T(hl_0),"{0}","900327597309806"),hn_0)</f>
        <v>ОВ</v>
      </c>
      <c r="B587" s="7" t="s">
        <v>67</v>
      </c>
      <c r="C587" s="8">
        <v>5000</v>
      </c>
      <c r="D587" s="7" t="s">
        <v>87</v>
      </c>
      <c r="E587" s="7" t="s">
        <v>20</v>
      </c>
    </row>
    <row r="588" spans="1:5" ht="12.75">
      <c r="A588" s="6" t="str">
        <f>HYPERLINK(SUBSTITUTE(T(hl_0),"{0}","900327597309806"),hn_0)</f>
        <v>ОВ</v>
      </c>
      <c r="B588" s="7" t="s">
        <v>67</v>
      </c>
      <c r="C588" s="8">
        <v>5000</v>
      </c>
      <c r="D588" s="7" t="s">
        <v>87</v>
      </c>
      <c r="E588" s="7" t="s">
        <v>20</v>
      </c>
    </row>
    <row r="589" spans="1:5" ht="12.75">
      <c r="A589" s="6" t="str">
        <f>HYPERLINK(SUBSTITUTE(T(hl_0),"{0}","900327599038908"),hn_0)</f>
        <v>ОВ</v>
      </c>
      <c r="B589" s="7" t="s">
        <v>67</v>
      </c>
      <c r="C589" s="8">
        <v>5000</v>
      </c>
      <c r="D589" s="7" t="s">
        <v>163</v>
      </c>
      <c r="E589" s="7" t="s">
        <v>20</v>
      </c>
    </row>
    <row r="590" spans="1:5" ht="12.75">
      <c r="A590" s="6" t="str">
        <f>HYPERLINK(SUBSTITUTE(T(hl_0),"{0}","900327599038908"),hn_0)</f>
        <v>ОВ</v>
      </c>
      <c r="B590" s="7" t="s">
        <v>67</v>
      </c>
      <c r="C590" s="8">
        <v>5000</v>
      </c>
      <c r="D590" s="7" t="s">
        <v>163</v>
      </c>
      <c r="E590" s="7" t="s">
        <v>20</v>
      </c>
    </row>
    <row r="591" spans="1:5" ht="12.75">
      <c r="A591" s="6" t="str">
        <f>HYPERLINK(SUBSTITUTE(T(hl_0),"{0}","900327619106304"),hn_0)</f>
        <v>ОВ</v>
      </c>
      <c r="B591" s="7" t="s">
        <v>67</v>
      </c>
      <c r="C591" s="8">
        <v>5000</v>
      </c>
      <c r="D591" s="7" t="s">
        <v>134</v>
      </c>
      <c r="E591" s="7" t="s">
        <v>20</v>
      </c>
    </row>
    <row r="592" spans="1:5" ht="12.75">
      <c r="A592" s="6" t="str">
        <f>HYPERLINK(SUBSTITUTE(T(hl_0),"{0}","900327619106304"),hn_0)</f>
        <v>ОВ</v>
      </c>
      <c r="B592" s="7" t="s">
        <v>67</v>
      </c>
      <c r="C592" s="8">
        <v>5000</v>
      </c>
      <c r="D592" s="7" t="s">
        <v>134</v>
      </c>
      <c r="E592" s="7" t="s">
        <v>20</v>
      </c>
    </row>
    <row r="593" spans="1:5" ht="12.75">
      <c r="A593" s="6" t="str">
        <f>HYPERLINK(SUBSTITUTE(T(hl_0),"{0}","900327597907429"),hn_0)</f>
        <v>ОВ</v>
      </c>
      <c r="B593" s="7" t="s">
        <v>67</v>
      </c>
      <c r="C593" s="8">
        <v>5000</v>
      </c>
      <c r="D593" s="7" t="s">
        <v>90</v>
      </c>
      <c r="E593" s="7" t="s">
        <v>20</v>
      </c>
    </row>
    <row r="594" spans="1:5" ht="12.75">
      <c r="A594" s="6" t="str">
        <f>HYPERLINK(SUBSTITUTE(T(hl_0),"{0}","900327597907429"),hn_0)</f>
        <v>ОВ</v>
      </c>
      <c r="B594" s="7" t="s">
        <v>67</v>
      </c>
      <c r="C594" s="8">
        <v>5000</v>
      </c>
      <c r="D594" s="7" t="s">
        <v>90</v>
      </c>
      <c r="E594" s="7" t="s">
        <v>20</v>
      </c>
    </row>
    <row r="595" spans="1:5" ht="12.75">
      <c r="A595" s="6" t="str">
        <f>HYPERLINK(SUBSTITUTE(T(hl_0),"{0}","900327535922438"),hn_0)</f>
        <v>ОВ</v>
      </c>
      <c r="B595" s="7" t="s">
        <v>67</v>
      </c>
      <c r="C595" s="8">
        <v>5000</v>
      </c>
      <c r="D595" s="7" t="s">
        <v>116</v>
      </c>
      <c r="E595" s="7" t="s">
        <v>20</v>
      </c>
    </row>
    <row r="596" spans="1:5" ht="12.75">
      <c r="A596" s="6" t="str">
        <f>HYPERLINK(SUBSTITUTE(T(hl_0),"{0}","900327535922438"),hn_0)</f>
        <v>ОВ</v>
      </c>
      <c r="B596" s="7" t="s">
        <v>67</v>
      </c>
      <c r="C596" s="8">
        <v>5000</v>
      </c>
      <c r="D596" s="7" t="s">
        <v>116</v>
      </c>
      <c r="E596" s="7" t="s">
        <v>20</v>
      </c>
    </row>
    <row r="597" spans="1:5" ht="12.75">
      <c r="A597" s="6" t="str">
        <f>HYPERLINK(SUBSTITUTE(T(hl_0),"{0}","900327536267332"),hn_0)</f>
        <v>ОВ</v>
      </c>
      <c r="B597" s="7" t="s">
        <v>67</v>
      </c>
      <c r="C597" s="8">
        <v>5000</v>
      </c>
      <c r="D597" s="7" t="s">
        <v>157</v>
      </c>
      <c r="E597" s="7" t="s">
        <v>20</v>
      </c>
    </row>
    <row r="598" spans="1:5" ht="12.75">
      <c r="A598" s="6" t="str">
        <f>HYPERLINK(SUBSTITUTE(T(hl_0),"{0}","900327536267332"),hn_0)</f>
        <v>ОВ</v>
      </c>
      <c r="B598" s="7" t="s">
        <v>67</v>
      </c>
      <c r="C598" s="8">
        <v>5000</v>
      </c>
      <c r="D598" s="7" t="s">
        <v>157</v>
      </c>
      <c r="E598" s="7" t="s">
        <v>20</v>
      </c>
    </row>
    <row r="599" spans="1:5" ht="12.75">
      <c r="A599" s="6" t="str">
        <f>HYPERLINK(SUBSTITUTE(T(hl_0),"{0}","900327598222466"),hn_0)</f>
        <v>ОВ</v>
      </c>
      <c r="B599" s="7" t="s">
        <v>67</v>
      </c>
      <c r="C599" s="8">
        <v>5000</v>
      </c>
      <c r="D599" s="7" t="s">
        <v>92</v>
      </c>
      <c r="E599" s="7" t="s">
        <v>20</v>
      </c>
    </row>
    <row r="600" spans="1:5" ht="12.75">
      <c r="A600" s="6" t="str">
        <f>HYPERLINK(SUBSTITUTE(T(hl_0),"{0}","900327598222466"),hn_0)</f>
        <v>ОВ</v>
      </c>
      <c r="B600" s="7" t="s">
        <v>67</v>
      </c>
      <c r="C600" s="8">
        <v>5000</v>
      </c>
      <c r="D600" s="7" t="s">
        <v>92</v>
      </c>
      <c r="E600" s="7" t="s">
        <v>20</v>
      </c>
    </row>
    <row r="601" spans="1:5" ht="12.75">
      <c r="A601" s="6" t="str">
        <f>HYPERLINK(SUBSTITUTE(T(hl_0),"{0}","900327597863485"),hn_0)</f>
        <v>ОВ</v>
      </c>
      <c r="B601" s="7" t="s">
        <v>67</v>
      </c>
      <c r="C601" s="8">
        <v>5000</v>
      </c>
      <c r="D601" s="7" t="s">
        <v>104</v>
      </c>
      <c r="E601" s="7" t="s">
        <v>20</v>
      </c>
    </row>
    <row r="602" spans="1:5" ht="12.75">
      <c r="A602" s="6" t="str">
        <f>HYPERLINK(SUBSTITUTE(T(hl_0),"{0}","900327597863485"),hn_0)</f>
        <v>ОВ</v>
      </c>
      <c r="B602" s="7" t="s">
        <v>67</v>
      </c>
      <c r="C602" s="8">
        <v>5000</v>
      </c>
      <c r="D602" s="7" t="s">
        <v>104</v>
      </c>
      <c r="E602" s="7" t="s">
        <v>20</v>
      </c>
    </row>
    <row r="603" spans="1:5" ht="12.75">
      <c r="A603" s="6" t="str">
        <f>HYPERLINK(SUBSTITUTE(T(hl_0),"{0}","900327597904181"),hn_0)</f>
        <v>ОВ</v>
      </c>
      <c r="B603" s="7" t="s">
        <v>67</v>
      </c>
      <c r="C603" s="8">
        <v>5000</v>
      </c>
      <c r="D603" s="7" t="s">
        <v>139</v>
      </c>
      <c r="E603" s="7" t="s">
        <v>20</v>
      </c>
    </row>
    <row r="604" spans="1:5" ht="12.75">
      <c r="A604" s="6" t="str">
        <f>HYPERLINK(SUBSTITUTE(T(hl_0),"{0}","900327597904181"),hn_0)</f>
        <v>ОВ</v>
      </c>
      <c r="B604" s="7" t="s">
        <v>67</v>
      </c>
      <c r="C604" s="8">
        <v>5000</v>
      </c>
      <c r="D604" s="7" t="s">
        <v>139</v>
      </c>
      <c r="E604" s="7" t="s">
        <v>20</v>
      </c>
    </row>
    <row r="605" spans="1:5" ht="12.75">
      <c r="A605" s="6" t="str">
        <f>HYPERLINK(SUBSTITUTE(T(hl_0),"{0}","900327597510647"),hn_0)</f>
        <v>ОВ</v>
      </c>
      <c r="B605" s="7" t="s">
        <v>67</v>
      </c>
      <c r="C605" s="8">
        <v>5000</v>
      </c>
      <c r="D605" s="7" t="s">
        <v>160</v>
      </c>
      <c r="E605" s="7" t="s">
        <v>20</v>
      </c>
    </row>
    <row r="606" spans="1:5" ht="12.75">
      <c r="A606" s="6" t="str">
        <f>HYPERLINK(SUBSTITUTE(T(hl_0),"{0}","900327597510647"),hn_0)</f>
        <v>ОВ</v>
      </c>
      <c r="B606" s="7" t="s">
        <v>67</v>
      </c>
      <c r="C606" s="8">
        <v>5000</v>
      </c>
      <c r="D606" s="7" t="s">
        <v>160</v>
      </c>
      <c r="E606" s="7" t="s">
        <v>20</v>
      </c>
    </row>
    <row r="607" spans="1:5" ht="12.75">
      <c r="A607" s="6" t="str">
        <f>HYPERLINK(SUBSTITUTE(T(hl_0),"{0}","900327534628859"),hn_0)</f>
        <v>ОВ</v>
      </c>
      <c r="B607" s="7" t="s">
        <v>67</v>
      </c>
      <c r="C607" s="8">
        <v>5000</v>
      </c>
      <c r="D607" s="7" t="s">
        <v>164</v>
      </c>
      <c r="E607" s="7" t="s">
        <v>20</v>
      </c>
    </row>
    <row r="608" spans="1:5" ht="12.75">
      <c r="A608" s="6" t="str">
        <f>HYPERLINK(SUBSTITUTE(T(hl_0),"{0}","900327534628859"),hn_0)</f>
        <v>ОВ</v>
      </c>
      <c r="B608" s="7" t="s">
        <v>67</v>
      </c>
      <c r="C608" s="8">
        <v>5000</v>
      </c>
      <c r="D608" s="7" t="s">
        <v>164</v>
      </c>
      <c r="E608" s="7" t="s">
        <v>20</v>
      </c>
    </row>
    <row r="609" spans="1:5" ht="12.75">
      <c r="A609" s="6" t="str">
        <f>HYPERLINK(SUBSTITUTE(T(hl_0),"{0}","900327362480621"),hn_0)</f>
        <v>ОВ</v>
      </c>
      <c r="B609" s="7" t="s">
        <v>67</v>
      </c>
      <c r="C609" s="8">
        <v>5000</v>
      </c>
      <c r="D609" s="7" t="s">
        <v>114</v>
      </c>
      <c r="E609" s="7" t="s">
        <v>20</v>
      </c>
    </row>
    <row r="610" spans="1:5" ht="12.75">
      <c r="A610" s="6" t="str">
        <f>HYPERLINK(SUBSTITUTE(T(hl_0),"{0}","900327362480621"),hn_0)</f>
        <v>ОВ</v>
      </c>
      <c r="B610" s="7" t="s">
        <v>67</v>
      </c>
      <c r="C610" s="8">
        <v>5000</v>
      </c>
      <c r="D610" s="7" t="s">
        <v>114</v>
      </c>
      <c r="E610" s="7" t="s">
        <v>20</v>
      </c>
    </row>
    <row r="611" spans="1:5" ht="12.75">
      <c r="A611" s="6" t="str">
        <f>HYPERLINK(SUBSTITUTE(T(hl_0),"{0}","900327598693948"),hn_0)</f>
        <v>ОВ</v>
      </c>
      <c r="B611" s="7" t="s">
        <v>67</v>
      </c>
      <c r="C611" s="8">
        <v>5000</v>
      </c>
      <c r="D611" s="7" t="s">
        <v>165</v>
      </c>
      <c r="E611" s="7" t="s">
        <v>20</v>
      </c>
    </row>
    <row r="612" spans="1:5" ht="12.75">
      <c r="A612" s="6" t="str">
        <f>HYPERLINK(SUBSTITUTE(T(hl_0),"{0}","900327598693948"),hn_0)</f>
        <v>ОВ</v>
      </c>
      <c r="B612" s="7" t="s">
        <v>67</v>
      </c>
      <c r="C612" s="8">
        <v>5000</v>
      </c>
      <c r="D612" s="7" t="s">
        <v>165</v>
      </c>
      <c r="E612" s="7" t="s">
        <v>20</v>
      </c>
    </row>
    <row r="613" spans="1:5" ht="12.75">
      <c r="A613" s="6" t="str">
        <f>HYPERLINK(SUBSTITUTE(T(hl_0),"{0}","900327597182077"),hn_0)</f>
        <v>ОВ</v>
      </c>
      <c r="B613" s="7" t="s">
        <v>67</v>
      </c>
      <c r="C613" s="8">
        <v>5000</v>
      </c>
      <c r="D613" s="7" t="s">
        <v>145</v>
      </c>
      <c r="E613" s="7" t="s">
        <v>20</v>
      </c>
    </row>
    <row r="614" spans="1:5" ht="12.75">
      <c r="A614" s="6" t="str">
        <f>HYPERLINK(SUBSTITUTE(T(hl_0),"{0}","900327597182077"),hn_0)</f>
        <v>ОВ</v>
      </c>
      <c r="B614" s="7" t="s">
        <v>67</v>
      </c>
      <c r="C614" s="8">
        <v>5000</v>
      </c>
      <c r="D614" s="7" t="s">
        <v>145</v>
      </c>
      <c r="E614" s="7" t="s">
        <v>20</v>
      </c>
    </row>
    <row r="615" spans="1:5" ht="12.75">
      <c r="A615" s="6" t="str">
        <f>HYPERLINK(SUBSTITUTE(T(hl_0),"{0}","900327467663825"),hn_0)</f>
        <v>ОВ</v>
      </c>
      <c r="B615" s="7" t="s">
        <v>67</v>
      </c>
      <c r="C615" s="8">
        <v>5000</v>
      </c>
      <c r="D615" s="7" t="s">
        <v>76</v>
      </c>
      <c r="E615" s="7" t="s">
        <v>20</v>
      </c>
    </row>
    <row r="616" spans="1:5" ht="12.75">
      <c r="A616" s="6" t="str">
        <f>HYPERLINK(SUBSTITUTE(T(hl_0),"{0}","900327467663825"),hn_0)</f>
        <v>ОВ</v>
      </c>
      <c r="B616" s="7" t="s">
        <v>67</v>
      </c>
      <c r="C616" s="8">
        <v>5000</v>
      </c>
      <c r="D616" s="7" t="s">
        <v>76</v>
      </c>
      <c r="E616" s="7" t="s">
        <v>20</v>
      </c>
    </row>
    <row r="617" spans="1:5" ht="12.75">
      <c r="A617" s="6" t="str">
        <f>HYPERLINK(SUBSTITUTE(T(hl_0),"{0}","900327513024500"),hn_0)</f>
        <v>ОВ</v>
      </c>
      <c r="B617" s="7" t="s">
        <v>67</v>
      </c>
      <c r="C617" s="8">
        <v>5000</v>
      </c>
      <c r="D617" s="7" t="s">
        <v>166</v>
      </c>
      <c r="E617" s="7" t="s">
        <v>20</v>
      </c>
    </row>
    <row r="618" spans="1:5" ht="12.75">
      <c r="A618" s="6" t="str">
        <f>HYPERLINK(SUBSTITUTE(T(hl_0),"{0}","900327513024500"),hn_0)</f>
        <v>ОВ</v>
      </c>
      <c r="B618" s="7" t="s">
        <v>67</v>
      </c>
      <c r="C618" s="8">
        <v>5000</v>
      </c>
      <c r="D618" s="7" t="s">
        <v>166</v>
      </c>
      <c r="E618" s="7" t="s">
        <v>20</v>
      </c>
    </row>
    <row r="619" spans="1:5" ht="12.75">
      <c r="A619" s="6" t="str">
        <f>HYPERLINK(SUBSTITUTE(T(hl_0),"{0}","900327487627340"),hn_0)</f>
        <v>ОВ</v>
      </c>
      <c r="B619" s="7" t="s">
        <v>67</v>
      </c>
      <c r="C619" s="8">
        <v>5000</v>
      </c>
      <c r="D619" s="7" t="s">
        <v>130</v>
      </c>
      <c r="E619" s="7" t="s">
        <v>20</v>
      </c>
    </row>
    <row r="620" spans="1:5" ht="12.75">
      <c r="A620" s="6" t="str">
        <f>HYPERLINK(SUBSTITUTE(T(hl_0),"{0}","900327487627340"),hn_0)</f>
        <v>ОВ</v>
      </c>
      <c r="B620" s="7" t="s">
        <v>67</v>
      </c>
      <c r="C620" s="8">
        <v>5000</v>
      </c>
      <c r="D620" s="7" t="s">
        <v>130</v>
      </c>
      <c r="E620" s="7" t="s">
        <v>20</v>
      </c>
    </row>
    <row r="621" spans="1:5" ht="12.75">
      <c r="A621" s="6" t="str">
        <f>HYPERLINK(SUBSTITUTE(T(hl_0),"{0}","900327487834546"),hn_0)</f>
        <v>ОВ</v>
      </c>
      <c r="B621" s="7" t="s">
        <v>67</v>
      </c>
      <c r="C621" s="8">
        <v>5000</v>
      </c>
      <c r="D621" s="7" t="s">
        <v>108</v>
      </c>
      <c r="E621" s="7" t="s">
        <v>20</v>
      </c>
    </row>
    <row r="622" spans="1:5" ht="12.75">
      <c r="A622" s="6" t="str">
        <f>HYPERLINK(SUBSTITUTE(T(hl_0),"{0}","900327487834546"),hn_0)</f>
        <v>ОВ</v>
      </c>
      <c r="B622" s="7" t="s">
        <v>67</v>
      </c>
      <c r="C622" s="8">
        <v>5000</v>
      </c>
      <c r="D622" s="7" t="s">
        <v>108</v>
      </c>
      <c r="E622" s="7" t="s">
        <v>20</v>
      </c>
    </row>
    <row r="623" spans="1:5" ht="12.75">
      <c r="A623" s="6" t="str">
        <f>HYPERLINK(SUBSTITUTE(T(hl_0),"{0}","900327598763012"),hn_0)</f>
        <v>ОВ</v>
      </c>
      <c r="B623" s="7" t="s">
        <v>67</v>
      </c>
      <c r="C623" s="8">
        <v>5000</v>
      </c>
      <c r="D623" s="7" t="s">
        <v>79</v>
      </c>
      <c r="E623" s="7" t="s">
        <v>20</v>
      </c>
    </row>
    <row r="624" spans="1:5" ht="12.75">
      <c r="A624" s="6" t="str">
        <f>HYPERLINK(SUBSTITUTE(T(hl_0),"{0}","900327598763012"),hn_0)</f>
        <v>ОВ</v>
      </c>
      <c r="B624" s="7" t="s">
        <v>67</v>
      </c>
      <c r="C624" s="8">
        <v>5000</v>
      </c>
      <c r="D624" s="7" t="s">
        <v>79</v>
      </c>
      <c r="E624" s="7" t="s">
        <v>20</v>
      </c>
    </row>
    <row r="625" spans="1:5" ht="12.75">
      <c r="A625" s="6" t="str">
        <f>HYPERLINK(SUBSTITUTE(T(hl_0),"{0}","900327467644351"),hn_0)</f>
        <v>ОВ</v>
      </c>
      <c r="B625" s="7" t="s">
        <v>67</v>
      </c>
      <c r="C625" s="8">
        <v>5000</v>
      </c>
      <c r="D625" s="7" t="s">
        <v>76</v>
      </c>
      <c r="E625" s="7" t="s">
        <v>20</v>
      </c>
    </row>
    <row r="626" spans="1:5" ht="12.75">
      <c r="A626" s="6" t="str">
        <f>HYPERLINK(SUBSTITUTE(T(hl_0),"{0}","900327467644351"),hn_0)</f>
        <v>ОВ</v>
      </c>
      <c r="B626" s="7" t="s">
        <v>67</v>
      </c>
      <c r="C626" s="8">
        <v>5000</v>
      </c>
      <c r="D626" s="7" t="s">
        <v>76</v>
      </c>
      <c r="E626" s="7" t="s">
        <v>20</v>
      </c>
    </row>
    <row r="627" spans="1:5" ht="12.75">
      <c r="A627" s="6" t="str">
        <f>HYPERLINK(SUBSTITUTE(T(hl_0),"{0}","900327467663843"),hn_0)</f>
        <v>ОВ</v>
      </c>
      <c r="B627" s="7" t="s">
        <v>67</v>
      </c>
      <c r="C627" s="8">
        <v>5000</v>
      </c>
      <c r="D627" s="7" t="s">
        <v>76</v>
      </c>
      <c r="E627" s="7" t="s">
        <v>20</v>
      </c>
    </row>
    <row r="628" spans="1:5" ht="12.75">
      <c r="A628" s="6" t="str">
        <f>HYPERLINK(SUBSTITUTE(T(hl_0),"{0}","900327467663843"),hn_0)</f>
        <v>ОВ</v>
      </c>
      <c r="B628" s="7" t="s">
        <v>67</v>
      </c>
      <c r="C628" s="8">
        <v>5000</v>
      </c>
      <c r="D628" s="7" t="s">
        <v>76</v>
      </c>
      <c r="E628" s="7" t="s">
        <v>20</v>
      </c>
    </row>
    <row r="629" spans="1:5" ht="12.75">
      <c r="A629" s="6" t="str">
        <f>HYPERLINK(SUBSTITUTE(T(hl_0),"{0}","900327467703392"),hn_0)</f>
        <v>ОВ</v>
      </c>
      <c r="B629" s="7" t="s">
        <v>67</v>
      </c>
      <c r="C629" s="8">
        <v>5000</v>
      </c>
      <c r="D629" s="7" t="s">
        <v>167</v>
      </c>
      <c r="E629" s="7" t="s">
        <v>20</v>
      </c>
    </row>
    <row r="630" spans="1:5" ht="12.75">
      <c r="A630" s="6" t="str">
        <f>HYPERLINK(SUBSTITUTE(T(hl_0),"{0}","900327467703392"),hn_0)</f>
        <v>ОВ</v>
      </c>
      <c r="B630" s="7" t="s">
        <v>67</v>
      </c>
      <c r="C630" s="8">
        <v>5000</v>
      </c>
      <c r="D630" s="7" t="s">
        <v>167</v>
      </c>
      <c r="E630" s="7" t="s">
        <v>20</v>
      </c>
    </row>
    <row r="631" spans="1:5" ht="12.75">
      <c r="A631" s="6" t="str">
        <f>HYPERLINK(SUBSTITUTE(T(hl_0),"{0}","900327467569264"),hn_0)</f>
        <v>ОВ</v>
      </c>
      <c r="B631" s="7" t="s">
        <v>67</v>
      </c>
      <c r="C631" s="8">
        <v>5000</v>
      </c>
      <c r="D631" s="7" t="s">
        <v>94</v>
      </c>
      <c r="E631" s="7" t="s">
        <v>20</v>
      </c>
    </row>
    <row r="632" spans="1:5" ht="12.75">
      <c r="A632" s="6" t="str">
        <f>HYPERLINK(SUBSTITUTE(T(hl_0),"{0}","900327467569264"),hn_0)</f>
        <v>ОВ</v>
      </c>
      <c r="B632" s="7" t="s">
        <v>67</v>
      </c>
      <c r="C632" s="8">
        <v>5000</v>
      </c>
      <c r="D632" s="7" t="s">
        <v>94</v>
      </c>
      <c r="E632" s="7" t="s">
        <v>20</v>
      </c>
    </row>
    <row r="633" spans="1:5" ht="12.75">
      <c r="A633" s="6" t="str">
        <f>HYPERLINK(SUBSTITUTE(T(hl_0),"{0}","900327513180462"),hn_0)</f>
        <v>ОВ</v>
      </c>
      <c r="B633" s="7" t="s">
        <v>67</v>
      </c>
      <c r="C633" s="8">
        <v>5000</v>
      </c>
      <c r="D633" s="7" t="s">
        <v>101</v>
      </c>
      <c r="E633" s="7" t="s">
        <v>20</v>
      </c>
    </row>
    <row r="634" spans="1:5" ht="12.75">
      <c r="A634" s="6" t="str">
        <f>HYPERLINK(SUBSTITUTE(T(hl_0),"{0}","900327513180462"),hn_0)</f>
        <v>ОВ</v>
      </c>
      <c r="B634" s="7" t="s">
        <v>67</v>
      </c>
      <c r="C634" s="8">
        <v>5000</v>
      </c>
      <c r="D634" s="7" t="s">
        <v>101</v>
      </c>
      <c r="E634" s="7" t="s">
        <v>20</v>
      </c>
    </row>
    <row r="635" spans="1:5" ht="12.75">
      <c r="A635" s="6" t="str">
        <f>HYPERLINK(SUBSTITUTE(T(hl_0),"{0}","900327596418883"),hn_0)</f>
        <v>ОВ</v>
      </c>
      <c r="B635" s="7" t="s">
        <v>67</v>
      </c>
      <c r="C635" s="8">
        <v>5000</v>
      </c>
      <c r="D635" s="7" t="s">
        <v>168</v>
      </c>
      <c r="E635" s="7" t="s">
        <v>20</v>
      </c>
    </row>
    <row r="636" spans="1:5" ht="12.75">
      <c r="A636" s="6" t="str">
        <f>HYPERLINK(SUBSTITUTE(T(hl_0),"{0}","900327596418883"),hn_0)</f>
        <v>ОВ</v>
      </c>
      <c r="B636" s="7" t="s">
        <v>67</v>
      </c>
      <c r="C636" s="8">
        <v>5000</v>
      </c>
      <c r="D636" s="7" t="s">
        <v>168</v>
      </c>
      <c r="E636" s="7" t="s">
        <v>20</v>
      </c>
    </row>
    <row r="637" spans="1:5" ht="12.75">
      <c r="A637" s="6" t="str">
        <f>HYPERLINK(SUBSTITUTE(T(hl_0),"{0}","900327596510724"),hn_0)</f>
        <v>ОВ</v>
      </c>
      <c r="B637" s="7" t="s">
        <v>67</v>
      </c>
      <c r="C637" s="8">
        <v>5000</v>
      </c>
      <c r="D637" s="7" t="s">
        <v>152</v>
      </c>
      <c r="E637" s="7" t="s">
        <v>20</v>
      </c>
    </row>
    <row r="638" spans="1:5" ht="12.75">
      <c r="A638" s="6" t="str">
        <f>HYPERLINK(SUBSTITUTE(T(hl_0),"{0}","900327596510724"),hn_0)</f>
        <v>ОВ</v>
      </c>
      <c r="B638" s="7" t="s">
        <v>67</v>
      </c>
      <c r="C638" s="8">
        <v>5000</v>
      </c>
      <c r="D638" s="7" t="s">
        <v>152</v>
      </c>
      <c r="E638" s="7" t="s">
        <v>20</v>
      </c>
    </row>
    <row r="639" spans="1:5" ht="12.75">
      <c r="A639" s="6" t="str">
        <f>HYPERLINK(SUBSTITUTE(T(hl_0),"{0}","900327468022295"),hn_0)</f>
        <v>ОВ</v>
      </c>
      <c r="B639" s="7" t="s">
        <v>67</v>
      </c>
      <c r="C639" s="8">
        <v>5000</v>
      </c>
      <c r="D639" s="7" t="s">
        <v>141</v>
      </c>
      <c r="E639" s="7" t="s">
        <v>20</v>
      </c>
    </row>
    <row r="640" spans="1:5" ht="12.75">
      <c r="A640" s="6" t="str">
        <f>HYPERLINK(SUBSTITUTE(T(hl_0),"{0}","900327468022295"),hn_0)</f>
        <v>ОВ</v>
      </c>
      <c r="B640" s="7" t="s">
        <v>67</v>
      </c>
      <c r="C640" s="8">
        <v>5000</v>
      </c>
      <c r="D640" s="7" t="s">
        <v>141</v>
      </c>
      <c r="E640" s="7" t="s">
        <v>20</v>
      </c>
    </row>
    <row r="641" spans="1:5" ht="12.75">
      <c r="A641" s="6" t="str">
        <f>HYPERLINK(SUBSTITUTE(T(hl_0),"{0}","900327486053249"),hn_0)</f>
        <v>ОВ</v>
      </c>
      <c r="B641" s="7" t="s">
        <v>67</v>
      </c>
      <c r="C641" s="8">
        <v>5000</v>
      </c>
      <c r="D641" s="7" t="s">
        <v>124</v>
      </c>
      <c r="E641" s="7" t="s">
        <v>20</v>
      </c>
    </row>
    <row r="642" spans="1:5" ht="12.75">
      <c r="A642" s="6" t="str">
        <f>HYPERLINK(SUBSTITUTE(T(hl_0),"{0}","900327486053249"),hn_0)</f>
        <v>ОВ</v>
      </c>
      <c r="B642" s="7" t="s">
        <v>67</v>
      </c>
      <c r="C642" s="8">
        <v>5000</v>
      </c>
      <c r="D642" s="7" t="s">
        <v>124</v>
      </c>
      <c r="E642" s="7" t="s">
        <v>20</v>
      </c>
    </row>
    <row r="643" spans="1:5" ht="12.75">
      <c r="A643" s="6" t="str">
        <f>HYPERLINK(SUBSTITUTE(T(hl_0),"{0}","900327486053259"),hn_0)</f>
        <v>ОВ</v>
      </c>
      <c r="B643" s="7" t="s">
        <v>67</v>
      </c>
      <c r="C643" s="8">
        <v>5000</v>
      </c>
      <c r="D643" s="7" t="s">
        <v>124</v>
      </c>
      <c r="E643" s="7" t="s">
        <v>20</v>
      </c>
    </row>
    <row r="644" spans="1:5" ht="12.75">
      <c r="A644" s="6" t="str">
        <f>HYPERLINK(SUBSTITUTE(T(hl_0),"{0}","900327486053259"),hn_0)</f>
        <v>ОВ</v>
      </c>
      <c r="B644" s="7" t="s">
        <v>67</v>
      </c>
      <c r="C644" s="8">
        <v>5000</v>
      </c>
      <c r="D644" s="7" t="s">
        <v>124</v>
      </c>
      <c r="E644" s="7" t="s">
        <v>20</v>
      </c>
    </row>
    <row r="645" spans="1:5" ht="12.75">
      <c r="A645" s="6" t="str">
        <f>HYPERLINK(SUBSTITUTE(T(hl_0),"{0}","900327488240585"),hn_0)</f>
        <v>ОВ</v>
      </c>
      <c r="B645" s="7" t="s">
        <v>67</v>
      </c>
      <c r="C645" s="8">
        <v>5000</v>
      </c>
      <c r="D645" s="7" t="s">
        <v>119</v>
      </c>
      <c r="E645" s="7" t="s">
        <v>20</v>
      </c>
    </row>
    <row r="646" spans="1:5" ht="12.75">
      <c r="A646" s="6" t="str">
        <f>HYPERLINK(SUBSTITUTE(T(hl_0),"{0}","900327488240585"),hn_0)</f>
        <v>ОВ</v>
      </c>
      <c r="B646" s="7" t="s">
        <v>67</v>
      </c>
      <c r="C646" s="8">
        <v>5000</v>
      </c>
      <c r="D646" s="7" t="s">
        <v>119</v>
      </c>
      <c r="E646" s="7" t="s">
        <v>20</v>
      </c>
    </row>
    <row r="647" spans="1:5" ht="12.75">
      <c r="A647" s="6" t="str">
        <f>HYPERLINK(SUBSTITUTE(T(hl_0),"{0}","900327535410736"),hn_0)</f>
        <v>ОВ</v>
      </c>
      <c r="B647" s="7" t="s">
        <v>67</v>
      </c>
      <c r="C647" s="8">
        <v>5000</v>
      </c>
      <c r="D647" s="7" t="s">
        <v>75</v>
      </c>
      <c r="E647" s="7" t="s">
        <v>20</v>
      </c>
    </row>
    <row r="648" spans="1:5" ht="12.75">
      <c r="A648" s="6" t="str">
        <f>HYPERLINK(SUBSTITUTE(T(hl_0),"{0}","900327535410736"),hn_0)</f>
        <v>ОВ</v>
      </c>
      <c r="B648" s="7" t="s">
        <v>67</v>
      </c>
      <c r="C648" s="8">
        <v>5000</v>
      </c>
      <c r="D648" s="7" t="s">
        <v>75</v>
      </c>
      <c r="E648" s="7" t="s">
        <v>20</v>
      </c>
    </row>
    <row r="649" spans="1:5" ht="12.75">
      <c r="A649" s="6" t="str">
        <f>HYPERLINK(SUBSTITUTE(T(hl_0),"{0}","900327598834153"),hn_0)</f>
        <v>ОВ</v>
      </c>
      <c r="B649" s="7" t="s">
        <v>67</v>
      </c>
      <c r="C649" s="8">
        <v>5000</v>
      </c>
      <c r="D649" s="7" t="s">
        <v>92</v>
      </c>
      <c r="E649" s="7" t="s">
        <v>20</v>
      </c>
    </row>
    <row r="650" spans="1:5" ht="12.75">
      <c r="A650" s="6" t="str">
        <f>HYPERLINK(SUBSTITUTE(T(hl_0),"{0}","900327598834153"),hn_0)</f>
        <v>ОВ</v>
      </c>
      <c r="B650" s="7" t="s">
        <v>67</v>
      </c>
      <c r="C650" s="8">
        <v>5000</v>
      </c>
      <c r="D650" s="7" t="s">
        <v>92</v>
      </c>
      <c r="E650" s="7" t="s">
        <v>20</v>
      </c>
    </row>
    <row r="651" spans="1:5" ht="12.75">
      <c r="A651" s="6" t="str">
        <f>HYPERLINK(SUBSTITUTE(T(hl_0),"{0}","900327359789702"),hn_0)</f>
        <v>ОВ</v>
      </c>
      <c r="B651" s="7" t="s">
        <v>67</v>
      </c>
      <c r="C651" s="8">
        <v>5000</v>
      </c>
      <c r="D651" s="7" t="s">
        <v>169</v>
      </c>
      <c r="E651" s="7" t="s">
        <v>20</v>
      </c>
    </row>
    <row r="652" spans="1:5" ht="12.75">
      <c r="A652" s="6" t="str">
        <f>HYPERLINK(SUBSTITUTE(T(hl_0),"{0}","900327359789702"),hn_0)</f>
        <v>ОВ</v>
      </c>
      <c r="B652" s="7" t="s">
        <v>67</v>
      </c>
      <c r="C652" s="8">
        <v>5000</v>
      </c>
      <c r="D652" s="7" t="s">
        <v>169</v>
      </c>
      <c r="E652" s="7" t="s">
        <v>20</v>
      </c>
    </row>
    <row r="653" spans="1:5" ht="12.75">
      <c r="A653" s="6" t="str">
        <f>HYPERLINK(SUBSTITUTE(T(hl_0),"{0}","900327597156213"),hn_0)</f>
        <v>ОВ</v>
      </c>
      <c r="B653" s="7" t="s">
        <v>67</v>
      </c>
      <c r="C653" s="8">
        <v>5000</v>
      </c>
      <c r="D653" s="7" t="s">
        <v>152</v>
      </c>
      <c r="E653" s="7" t="s">
        <v>20</v>
      </c>
    </row>
    <row r="654" spans="1:5" ht="12.75">
      <c r="A654" s="6" t="str">
        <f>HYPERLINK(SUBSTITUTE(T(hl_0),"{0}","900327597156213"),hn_0)</f>
        <v>ОВ</v>
      </c>
      <c r="B654" s="7" t="s">
        <v>67</v>
      </c>
      <c r="C654" s="8">
        <v>5000</v>
      </c>
      <c r="D654" s="7" t="s">
        <v>152</v>
      </c>
      <c r="E654" s="7" t="s">
        <v>20</v>
      </c>
    </row>
    <row r="655" spans="1:5" ht="12.75">
      <c r="A655" s="6" t="str">
        <f>HYPERLINK(SUBSTITUTE(T(hl_0),"{0}","900327534979847"),hn_0)</f>
        <v>ОВ</v>
      </c>
      <c r="B655" s="7" t="s">
        <v>67</v>
      </c>
      <c r="C655" s="8">
        <v>5000</v>
      </c>
      <c r="D655" s="7" t="s">
        <v>128</v>
      </c>
      <c r="E655" s="7" t="s">
        <v>20</v>
      </c>
    </row>
    <row r="656" spans="1:5" ht="12.75">
      <c r="A656" s="6" t="str">
        <f>HYPERLINK(SUBSTITUTE(T(hl_0),"{0}","900327534979847"),hn_0)</f>
        <v>ОВ</v>
      </c>
      <c r="B656" s="7" t="s">
        <v>67</v>
      </c>
      <c r="C656" s="8">
        <v>5000</v>
      </c>
      <c r="D656" s="7" t="s">
        <v>128</v>
      </c>
      <c r="E656" s="7" t="s">
        <v>20</v>
      </c>
    </row>
    <row r="657" spans="1:5" ht="12.75">
      <c r="A657" s="6" t="str">
        <f>HYPERLINK(SUBSTITUTE(T(hl_0),"{0}","900327598255122"),hn_0)</f>
        <v>ОВ</v>
      </c>
      <c r="B657" s="7" t="s">
        <v>67</v>
      </c>
      <c r="C657" s="8">
        <v>5000</v>
      </c>
      <c r="D657" s="7" t="s">
        <v>92</v>
      </c>
      <c r="E657" s="7" t="s">
        <v>20</v>
      </c>
    </row>
    <row r="658" spans="1:5" ht="12.75">
      <c r="A658" s="6" t="str">
        <f>HYPERLINK(SUBSTITUTE(T(hl_0),"{0}","900327598255122"),hn_0)</f>
        <v>ОВ</v>
      </c>
      <c r="B658" s="7" t="s">
        <v>67</v>
      </c>
      <c r="C658" s="8">
        <v>5000</v>
      </c>
      <c r="D658" s="7" t="s">
        <v>92</v>
      </c>
      <c r="E658" s="7" t="s">
        <v>20</v>
      </c>
    </row>
    <row r="659" spans="1:5" ht="12.75">
      <c r="A659" s="6" t="str">
        <f>HYPERLINK(SUBSTITUTE(T(hl_0),"{0}","900327534600559"),hn_0)</f>
        <v>ОВ</v>
      </c>
      <c r="B659" s="7" t="s">
        <v>67</v>
      </c>
      <c r="C659" s="8">
        <v>5000</v>
      </c>
      <c r="D659" s="7" t="s">
        <v>170</v>
      </c>
      <c r="E659" s="7" t="s">
        <v>20</v>
      </c>
    </row>
    <row r="660" spans="1:5" ht="12.75">
      <c r="A660" s="6" t="str">
        <f>HYPERLINK(SUBSTITUTE(T(hl_0),"{0}","900327534600559"),hn_0)</f>
        <v>ОВ</v>
      </c>
      <c r="B660" s="7" t="s">
        <v>67</v>
      </c>
      <c r="C660" s="8">
        <v>5000</v>
      </c>
      <c r="D660" s="7" t="s">
        <v>170</v>
      </c>
      <c r="E660" s="7" t="s">
        <v>20</v>
      </c>
    </row>
    <row r="661" spans="1:5" ht="12.75">
      <c r="A661" s="6" t="str">
        <f>HYPERLINK(SUBSTITUTE(T(hl_0),"{0}","900327535313012"),hn_0)</f>
        <v>ОВ</v>
      </c>
      <c r="B661" s="7" t="s">
        <v>67</v>
      </c>
      <c r="C661" s="8">
        <v>5000</v>
      </c>
      <c r="D661" s="7" t="s">
        <v>100</v>
      </c>
      <c r="E661" s="7" t="s">
        <v>20</v>
      </c>
    </row>
    <row r="662" spans="1:5" ht="12.75">
      <c r="A662" s="6" t="str">
        <f>HYPERLINK(SUBSTITUTE(T(hl_0),"{0}","900327535313012"),hn_0)</f>
        <v>ОВ</v>
      </c>
      <c r="B662" s="7" t="s">
        <v>67</v>
      </c>
      <c r="C662" s="8">
        <v>5000</v>
      </c>
      <c r="D662" s="7" t="s">
        <v>100</v>
      </c>
      <c r="E662" s="7" t="s">
        <v>20</v>
      </c>
    </row>
    <row r="663" spans="1:5" ht="12.75">
      <c r="A663" s="6" t="str">
        <f>HYPERLINK(SUBSTITUTE(T(hl_0),"{0}","900327488656886"),hn_0)</f>
        <v>ОВ</v>
      </c>
      <c r="B663" s="7" t="s">
        <v>67</v>
      </c>
      <c r="C663" s="8">
        <v>5000</v>
      </c>
      <c r="D663" s="7" t="s">
        <v>117</v>
      </c>
      <c r="E663" s="7" t="s">
        <v>20</v>
      </c>
    </row>
    <row r="664" spans="1:5" ht="12.75">
      <c r="A664" s="6" t="str">
        <f>HYPERLINK(SUBSTITUTE(T(hl_0),"{0}","900327488656886"),hn_0)</f>
        <v>ОВ</v>
      </c>
      <c r="B664" s="7" t="s">
        <v>67</v>
      </c>
      <c r="C664" s="8">
        <v>5000</v>
      </c>
      <c r="D664" s="7" t="s">
        <v>117</v>
      </c>
      <c r="E664" s="7" t="s">
        <v>20</v>
      </c>
    </row>
    <row r="665" spans="1:5" ht="12.75">
      <c r="A665" s="6" t="str">
        <f>HYPERLINK(SUBSTITUTE(T(hl_0),"{0}","900327487848386"),hn_0)</f>
        <v>ОВ</v>
      </c>
      <c r="B665" s="7" t="s">
        <v>67</v>
      </c>
      <c r="C665" s="8">
        <v>5000</v>
      </c>
      <c r="D665" s="7" t="s">
        <v>108</v>
      </c>
      <c r="E665" s="7" t="s">
        <v>20</v>
      </c>
    </row>
    <row r="666" spans="1:5" ht="12.75">
      <c r="A666" s="6" t="str">
        <f>HYPERLINK(SUBSTITUTE(T(hl_0),"{0}","900327487848386"),hn_0)</f>
        <v>ОВ</v>
      </c>
      <c r="B666" s="7" t="s">
        <v>67</v>
      </c>
      <c r="C666" s="8">
        <v>5000</v>
      </c>
      <c r="D666" s="7" t="s">
        <v>108</v>
      </c>
      <c r="E666" s="7" t="s">
        <v>20</v>
      </c>
    </row>
    <row r="667" spans="1:5" ht="12.75">
      <c r="A667" s="6" t="str">
        <f>HYPERLINK(SUBSTITUTE(T(hl_0),"{0}","900327619011389"),hn_0)</f>
        <v>ОВ</v>
      </c>
      <c r="B667" s="7" t="s">
        <v>67</v>
      </c>
      <c r="C667" s="8">
        <v>5000</v>
      </c>
      <c r="D667" s="7" t="s">
        <v>171</v>
      </c>
      <c r="E667" s="7" t="s">
        <v>20</v>
      </c>
    </row>
    <row r="668" spans="1:5" ht="12.75">
      <c r="A668" s="6" t="str">
        <f>HYPERLINK(SUBSTITUTE(T(hl_0),"{0}","900327619011389"),hn_0)</f>
        <v>ОВ</v>
      </c>
      <c r="B668" s="7" t="s">
        <v>67</v>
      </c>
      <c r="C668" s="8">
        <v>5000</v>
      </c>
      <c r="D668" s="7" t="s">
        <v>171</v>
      </c>
      <c r="E668" s="7" t="s">
        <v>20</v>
      </c>
    </row>
    <row r="669" spans="1:5" ht="12.75">
      <c r="A669" s="6" t="str">
        <f>HYPERLINK(SUBSTITUTE(T(hl_0),"{0}","900327360241568"),hn_0)</f>
        <v>ОВ</v>
      </c>
      <c r="B669" s="7" t="s">
        <v>67</v>
      </c>
      <c r="C669" s="8">
        <v>5000</v>
      </c>
      <c r="D669" s="7" t="s">
        <v>172</v>
      </c>
      <c r="E669" s="7" t="s">
        <v>20</v>
      </c>
    </row>
    <row r="670" spans="1:5" ht="12.75">
      <c r="A670" s="6" t="str">
        <f>HYPERLINK(SUBSTITUTE(T(hl_0),"{0}","900327360241568"),hn_0)</f>
        <v>ОВ</v>
      </c>
      <c r="B670" s="7" t="s">
        <v>67</v>
      </c>
      <c r="C670" s="8">
        <v>5000</v>
      </c>
      <c r="D670" s="7" t="s">
        <v>172</v>
      </c>
      <c r="E670" s="7" t="s">
        <v>20</v>
      </c>
    </row>
    <row r="671" spans="1:5" ht="12.75">
      <c r="A671" s="6" t="str">
        <f>HYPERLINK(SUBSTITUTE(T(hl_0),"{0}","900327362514530"),hn_0)</f>
        <v>ОВ</v>
      </c>
      <c r="B671" s="7" t="s">
        <v>67</v>
      </c>
      <c r="C671" s="8">
        <v>5000</v>
      </c>
      <c r="D671" s="7" t="s">
        <v>173</v>
      </c>
      <c r="E671" s="7" t="s">
        <v>20</v>
      </c>
    </row>
    <row r="672" spans="1:5" ht="12.75">
      <c r="A672" s="6" t="str">
        <f>HYPERLINK(SUBSTITUTE(T(hl_0),"{0}","900327362514530"),hn_0)</f>
        <v>ОВ</v>
      </c>
      <c r="B672" s="7" t="s">
        <v>67</v>
      </c>
      <c r="C672" s="8">
        <v>5000</v>
      </c>
      <c r="D672" s="7" t="s">
        <v>173</v>
      </c>
      <c r="E672" s="7" t="s">
        <v>20</v>
      </c>
    </row>
    <row r="673" spans="1:5" ht="12.75">
      <c r="A673" s="6" t="str">
        <f>HYPERLINK(SUBSTITUTE(T(hl_0),"{0}","900327361690258"),hn_0)</f>
        <v>ОВ</v>
      </c>
      <c r="B673" s="7" t="s">
        <v>67</v>
      </c>
      <c r="C673" s="8">
        <v>5000</v>
      </c>
      <c r="D673" s="7" t="s">
        <v>120</v>
      </c>
      <c r="E673" s="7" t="s">
        <v>20</v>
      </c>
    </row>
    <row r="674" spans="1:5" ht="12.75">
      <c r="A674" s="6" t="str">
        <f>HYPERLINK(SUBSTITUTE(T(hl_0),"{0}","900327361690258"),hn_0)</f>
        <v>ОВ</v>
      </c>
      <c r="B674" s="7" t="s">
        <v>67</v>
      </c>
      <c r="C674" s="8">
        <v>5000</v>
      </c>
      <c r="D674" s="7" t="s">
        <v>120</v>
      </c>
      <c r="E674" s="7" t="s">
        <v>20</v>
      </c>
    </row>
    <row r="675" spans="1:5" ht="12.75">
      <c r="A675" s="6" t="str">
        <f>HYPERLINK(SUBSTITUTE(T(hl_0),"{0}","900327487809160"),hn_0)</f>
        <v>ОВ</v>
      </c>
      <c r="B675" s="7" t="s">
        <v>67</v>
      </c>
      <c r="C675" s="8">
        <v>5000</v>
      </c>
      <c r="D675" s="7" t="s">
        <v>141</v>
      </c>
      <c r="E675" s="7" t="s">
        <v>20</v>
      </c>
    </row>
    <row r="676" spans="1:5" ht="12.75">
      <c r="A676" s="6" t="str">
        <f>HYPERLINK(SUBSTITUTE(T(hl_0),"{0}","900327487809160"),hn_0)</f>
        <v>ОВ</v>
      </c>
      <c r="B676" s="7" t="s">
        <v>67</v>
      </c>
      <c r="C676" s="8">
        <v>5000</v>
      </c>
      <c r="D676" s="7" t="s">
        <v>141</v>
      </c>
      <c r="E676" s="7" t="s">
        <v>20</v>
      </c>
    </row>
    <row r="677" spans="1:5" ht="12.75">
      <c r="A677" s="6" t="str">
        <f>HYPERLINK(SUBSTITUTE(T(hl_0),"{0}","900327597548261"),hn_0)</f>
        <v>ОВ</v>
      </c>
      <c r="B677" s="7" t="s">
        <v>67</v>
      </c>
      <c r="C677" s="8">
        <v>5000</v>
      </c>
      <c r="D677" s="7" t="s">
        <v>146</v>
      </c>
      <c r="E677" s="7" t="s">
        <v>20</v>
      </c>
    </row>
    <row r="678" spans="1:5" ht="12.75">
      <c r="A678" s="6" t="str">
        <f>HYPERLINK(SUBSTITUTE(T(hl_0),"{0}","900327597548261"),hn_0)</f>
        <v>ОВ</v>
      </c>
      <c r="B678" s="7" t="s">
        <v>67</v>
      </c>
      <c r="C678" s="8">
        <v>5000</v>
      </c>
      <c r="D678" s="7" t="s">
        <v>146</v>
      </c>
      <c r="E678" s="7" t="s">
        <v>20</v>
      </c>
    </row>
    <row r="679" spans="1:5" ht="12.75">
      <c r="A679" s="6" t="str">
        <f>HYPERLINK(SUBSTITUTE(T(hl_0),"{0}","900327468042699"),hn_0)</f>
        <v>ОВ</v>
      </c>
      <c r="B679" s="7" t="s">
        <v>67</v>
      </c>
      <c r="C679" s="8">
        <v>5000</v>
      </c>
      <c r="D679" s="7" t="s">
        <v>130</v>
      </c>
      <c r="E679" s="7" t="s">
        <v>20</v>
      </c>
    </row>
    <row r="680" spans="1:5" ht="12.75">
      <c r="A680" s="6" t="str">
        <f>HYPERLINK(SUBSTITUTE(T(hl_0),"{0}","900327468042699"),hn_0)</f>
        <v>ОВ</v>
      </c>
      <c r="B680" s="7" t="s">
        <v>67</v>
      </c>
      <c r="C680" s="8">
        <v>5000</v>
      </c>
      <c r="D680" s="7" t="s">
        <v>130</v>
      </c>
      <c r="E680" s="7" t="s">
        <v>20</v>
      </c>
    </row>
    <row r="681" spans="1:5" ht="12.75">
      <c r="A681" s="6" t="str">
        <f>HYPERLINK(SUBSTITUTE(T(hl_0),"{0}","900327597164776"),hn_0)</f>
        <v>ОВ</v>
      </c>
      <c r="B681" s="7" t="s">
        <v>67</v>
      </c>
      <c r="C681" s="8">
        <v>5000</v>
      </c>
      <c r="D681" s="7" t="s">
        <v>158</v>
      </c>
      <c r="E681" s="7" t="s">
        <v>20</v>
      </c>
    </row>
    <row r="682" spans="1:5" ht="12.75">
      <c r="A682" s="6" t="str">
        <f>HYPERLINK(SUBSTITUTE(T(hl_0),"{0}","900327597164776"),hn_0)</f>
        <v>ОВ</v>
      </c>
      <c r="B682" s="7" t="s">
        <v>67</v>
      </c>
      <c r="C682" s="8">
        <v>5000</v>
      </c>
      <c r="D682" s="7" t="s">
        <v>158</v>
      </c>
      <c r="E682" s="7" t="s">
        <v>20</v>
      </c>
    </row>
    <row r="683" spans="1:5" ht="12.75">
      <c r="A683" s="6" t="str">
        <f>HYPERLINK(SUBSTITUTE(T(hl_0),"{0}","900327486070389"),hn_0)</f>
        <v>ОВ</v>
      </c>
      <c r="B683" s="7" t="s">
        <v>67</v>
      </c>
      <c r="C683" s="8">
        <v>5000</v>
      </c>
      <c r="D683" s="7" t="s">
        <v>94</v>
      </c>
      <c r="E683" s="7" t="s">
        <v>20</v>
      </c>
    </row>
    <row r="684" spans="1:5" ht="12.75">
      <c r="A684" s="6" t="str">
        <f>HYPERLINK(SUBSTITUTE(T(hl_0),"{0}","900327486070389"),hn_0)</f>
        <v>ОВ</v>
      </c>
      <c r="B684" s="7" t="s">
        <v>67</v>
      </c>
      <c r="C684" s="8">
        <v>5000</v>
      </c>
      <c r="D684" s="7" t="s">
        <v>94</v>
      </c>
      <c r="E684" s="7" t="s">
        <v>20</v>
      </c>
    </row>
    <row r="685" spans="1:5" ht="12.75">
      <c r="A685" s="6" t="str">
        <f>HYPERLINK(SUBSTITUTE(T(hl_0),"{0}","900327598084221"),hn_0)</f>
        <v>ОВ</v>
      </c>
      <c r="B685" s="7" t="s">
        <v>67</v>
      </c>
      <c r="C685" s="8">
        <v>5000</v>
      </c>
      <c r="D685" s="7" t="s">
        <v>71</v>
      </c>
      <c r="E685" s="7" t="s">
        <v>20</v>
      </c>
    </row>
    <row r="686" spans="1:5" ht="12.75">
      <c r="A686" s="6" t="str">
        <f>HYPERLINK(SUBSTITUTE(T(hl_0),"{0}","900327598084221"),hn_0)</f>
        <v>ОВ</v>
      </c>
      <c r="B686" s="7" t="s">
        <v>67</v>
      </c>
      <c r="C686" s="8">
        <v>5000</v>
      </c>
      <c r="D686" s="7" t="s">
        <v>71</v>
      </c>
      <c r="E686" s="7" t="s">
        <v>20</v>
      </c>
    </row>
    <row r="687" spans="1:5" ht="12.75">
      <c r="A687" s="6" t="str">
        <f>HYPERLINK(SUBSTITUTE(T(hl_0),"{0}","900327535666091"),hn_0)</f>
        <v>ОВ</v>
      </c>
      <c r="B687" s="7" t="s">
        <v>67</v>
      </c>
      <c r="C687" s="8">
        <v>5000</v>
      </c>
      <c r="D687" s="7" t="s">
        <v>96</v>
      </c>
      <c r="E687" s="7" t="s">
        <v>20</v>
      </c>
    </row>
    <row r="688" spans="1:5" ht="12.75">
      <c r="A688" s="6" t="str">
        <f>HYPERLINK(SUBSTITUTE(T(hl_0),"{0}","900327535666091"),hn_0)</f>
        <v>ОВ</v>
      </c>
      <c r="B688" s="7" t="s">
        <v>67</v>
      </c>
      <c r="C688" s="8">
        <v>5000</v>
      </c>
      <c r="D688" s="7" t="s">
        <v>96</v>
      </c>
      <c r="E688" s="7" t="s">
        <v>20</v>
      </c>
    </row>
    <row r="689" spans="1:5" ht="12.75">
      <c r="A689" s="6" t="str">
        <f>HYPERLINK(SUBSTITUTE(T(hl_0),"{0}","900327597630503"),hn_0)</f>
        <v>ОВ</v>
      </c>
      <c r="B689" s="7" t="s">
        <v>67</v>
      </c>
      <c r="C689" s="8">
        <v>5000</v>
      </c>
      <c r="D689" s="7" t="s">
        <v>115</v>
      </c>
      <c r="E689" s="7" t="s">
        <v>20</v>
      </c>
    </row>
    <row r="690" spans="1:5" ht="12.75">
      <c r="A690" s="6" t="str">
        <f>HYPERLINK(SUBSTITUTE(T(hl_0),"{0}","900327597630503"),hn_0)</f>
        <v>ОВ</v>
      </c>
      <c r="B690" s="7" t="s">
        <v>67</v>
      </c>
      <c r="C690" s="8">
        <v>5000</v>
      </c>
      <c r="D690" s="7" t="s">
        <v>115</v>
      </c>
      <c r="E690" s="7" t="s">
        <v>20</v>
      </c>
    </row>
    <row r="691" spans="1:5" ht="12.75">
      <c r="A691" s="6" t="str">
        <f>HYPERLINK(SUBSTITUTE(T(hl_0),"{0}","900327597847748"),hn_0)</f>
        <v>ОВ</v>
      </c>
      <c r="B691" s="7" t="s">
        <v>67</v>
      </c>
      <c r="C691" s="8">
        <v>5000</v>
      </c>
      <c r="D691" s="7" t="s">
        <v>71</v>
      </c>
      <c r="E691" s="7" t="s">
        <v>20</v>
      </c>
    </row>
    <row r="692" spans="1:5" ht="12.75">
      <c r="A692" s="6" t="str">
        <f>HYPERLINK(SUBSTITUTE(T(hl_0),"{0}","900327597847748"),hn_0)</f>
        <v>ОВ</v>
      </c>
      <c r="B692" s="7" t="s">
        <v>67</v>
      </c>
      <c r="C692" s="8">
        <v>5000</v>
      </c>
      <c r="D692" s="7" t="s">
        <v>71</v>
      </c>
      <c r="E692" s="7" t="s">
        <v>20</v>
      </c>
    </row>
    <row r="693" spans="1:5" ht="12.75">
      <c r="A693" s="6" t="str">
        <f>HYPERLINK(SUBSTITUTE(T(hl_0),"{0}","900327487681957"),hn_0)</f>
        <v>ОВ</v>
      </c>
      <c r="B693" s="7" t="s">
        <v>67</v>
      </c>
      <c r="C693" s="8">
        <v>5000</v>
      </c>
      <c r="D693" s="7" t="s">
        <v>94</v>
      </c>
      <c r="E693" s="7" t="s">
        <v>20</v>
      </c>
    </row>
    <row r="694" spans="1:5" ht="12.75">
      <c r="A694" s="6" t="str">
        <f>HYPERLINK(SUBSTITUTE(T(hl_0),"{0}","900327487681957"),hn_0)</f>
        <v>ОВ</v>
      </c>
      <c r="B694" s="7" t="s">
        <v>67</v>
      </c>
      <c r="C694" s="8">
        <v>5000</v>
      </c>
      <c r="D694" s="7" t="s">
        <v>94</v>
      </c>
      <c r="E694" s="7" t="s">
        <v>20</v>
      </c>
    </row>
    <row r="695" spans="1:5" ht="12.75">
      <c r="A695" s="6" t="str">
        <f>HYPERLINK(SUBSTITUTE(T(hl_0),"{0}","900327597895081"),hn_0)</f>
        <v>ОВ</v>
      </c>
      <c r="B695" s="7" t="s">
        <v>67</v>
      </c>
      <c r="C695" s="8">
        <v>5000</v>
      </c>
      <c r="D695" s="7" t="s">
        <v>139</v>
      </c>
      <c r="E695" s="7" t="s">
        <v>20</v>
      </c>
    </row>
    <row r="696" spans="1:5" ht="12.75">
      <c r="A696" s="6" t="str">
        <f>HYPERLINK(SUBSTITUTE(T(hl_0),"{0}","900327597895081"),hn_0)</f>
        <v>ОВ</v>
      </c>
      <c r="B696" s="7" t="s">
        <v>67</v>
      </c>
      <c r="C696" s="8">
        <v>5000</v>
      </c>
      <c r="D696" s="7" t="s">
        <v>139</v>
      </c>
      <c r="E696" s="7" t="s">
        <v>20</v>
      </c>
    </row>
    <row r="697" spans="1:5" ht="12.75">
      <c r="A697" s="6" t="str">
        <f>HYPERLINK(SUBSTITUTE(T(hl_0),"{0}","900327598271835"),hn_0)</f>
        <v>ОВ</v>
      </c>
      <c r="B697" s="7" t="s">
        <v>67</v>
      </c>
      <c r="C697" s="8">
        <v>5000</v>
      </c>
      <c r="D697" s="7" t="s">
        <v>92</v>
      </c>
      <c r="E697" s="7" t="s">
        <v>20</v>
      </c>
    </row>
    <row r="698" spans="1:5" ht="12.75">
      <c r="A698" s="6" t="str">
        <f>HYPERLINK(SUBSTITUTE(T(hl_0),"{0}","900327598271835"),hn_0)</f>
        <v>ОВ</v>
      </c>
      <c r="B698" s="7" t="s">
        <v>67</v>
      </c>
      <c r="C698" s="8">
        <v>5000</v>
      </c>
      <c r="D698" s="7" t="s">
        <v>92</v>
      </c>
      <c r="E698" s="7" t="s">
        <v>20</v>
      </c>
    </row>
    <row r="699" spans="1:5" ht="12.75">
      <c r="A699" s="6" t="str">
        <f>HYPERLINK(SUBSTITUTE(T(hl_0),"{0}","900327598514758"),hn_0)</f>
        <v>ОВ</v>
      </c>
      <c r="B699" s="7" t="s">
        <v>67</v>
      </c>
      <c r="C699" s="8">
        <v>5000</v>
      </c>
      <c r="D699" s="7" t="s">
        <v>81</v>
      </c>
      <c r="E699" s="7" t="s">
        <v>20</v>
      </c>
    </row>
    <row r="700" spans="1:5" ht="12.75">
      <c r="A700" s="6" t="str">
        <f>HYPERLINK(SUBSTITUTE(T(hl_0),"{0}","900327598514758"),hn_0)</f>
        <v>ОВ</v>
      </c>
      <c r="B700" s="7" t="s">
        <v>67</v>
      </c>
      <c r="C700" s="8">
        <v>5000</v>
      </c>
      <c r="D700" s="7" t="s">
        <v>81</v>
      </c>
      <c r="E700" s="7" t="s">
        <v>20</v>
      </c>
    </row>
    <row r="701" spans="1:5" ht="12.75">
      <c r="A701" s="6" t="str">
        <f>HYPERLINK(SUBSTITUTE(T(hl_0),"{0}","900327598121691"),hn_0)</f>
        <v>ОВ</v>
      </c>
      <c r="B701" s="7" t="s">
        <v>67</v>
      </c>
      <c r="C701" s="8">
        <v>5000</v>
      </c>
      <c r="D701" s="7" t="s">
        <v>79</v>
      </c>
      <c r="E701" s="7" t="s">
        <v>20</v>
      </c>
    </row>
    <row r="702" spans="1:5" ht="12.75">
      <c r="A702" s="6" t="str">
        <f>HYPERLINK(SUBSTITUTE(T(hl_0),"{0}","900327598121691"),hn_0)</f>
        <v>ОВ</v>
      </c>
      <c r="B702" s="7" t="s">
        <v>67</v>
      </c>
      <c r="C702" s="8">
        <v>5000</v>
      </c>
      <c r="D702" s="7" t="s">
        <v>79</v>
      </c>
      <c r="E702" s="7" t="s">
        <v>20</v>
      </c>
    </row>
    <row r="703" spans="1:5" ht="12.75">
      <c r="A703" s="6" t="str">
        <f>HYPERLINK(SUBSTITUTE(T(hl_0),"{0}","900327597442249"),hn_0)</f>
        <v>ОВ</v>
      </c>
      <c r="B703" s="7" t="s">
        <v>67</v>
      </c>
      <c r="C703" s="8">
        <v>5000</v>
      </c>
      <c r="D703" s="7" t="s">
        <v>149</v>
      </c>
      <c r="E703" s="7" t="s">
        <v>20</v>
      </c>
    </row>
    <row r="704" spans="1:5" ht="12.75">
      <c r="A704" s="6" t="str">
        <f>HYPERLINK(SUBSTITUTE(T(hl_0),"{0}","900327597442249"),hn_0)</f>
        <v>ОВ</v>
      </c>
      <c r="B704" s="7" t="s">
        <v>67</v>
      </c>
      <c r="C704" s="8">
        <v>5000</v>
      </c>
      <c r="D704" s="7" t="s">
        <v>149</v>
      </c>
      <c r="E704" s="7" t="s">
        <v>20</v>
      </c>
    </row>
    <row r="705" spans="1:5" ht="12.75">
      <c r="A705" s="6" t="str">
        <f>HYPERLINK(SUBSTITUTE(T(hl_0),"{0}","900327534617837"),hn_0)</f>
        <v>ОВ</v>
      </c>
      <c r="B705" s="7" t="s">
        <v>67</v>
      </c>
      <c r="C705" s="8">
        <v>5000</v>
      </c>
      <c r="D705" s="7" t="s">
        <v>174</v>
      </c>
      <c r="E705" s="7" t="s">
        <v>20</v>
      </c>
    </row>
    <row r="706" spans="1:5" ht="12.75">
      <c r="A706" s="6" t="str">
        <f>HYPERLINK(SUBSTITUTE(T(hl_0),"{0}","900327534617837"),hn_0)</f>
        <v>ОВ</v>
      </c>
      <c r="B706" s="7" t="s">
        <v>67</v>
      </c>
      <c r="C706" s="8">
        <v>5000</v>
      </c>
      <c r="D706" s="7" t="s">
        <v>174</v>
      </c>
      <c r="E706" s="7" t="s">
        <v>20</v>
      </c>
    </row>
    <row r="707" spans="1:5" ht="12.75">
      <c r="A707" s="6" t="str">
        <f>HYPERLINK(SUBSTITUTE(T(hl_0),"{0}","900327596304880"),hn_0)</f>
        <v>ОВ</v>
      </c>
      <c r="B707" s="7" t="s">
        <v>67</v>
      </c>
      <c r="C707" s="8">
        <v>5000</v>
      </c>
      <c r="D707" s="7" t="s">
        <v>149</v>
      </c>
      <c r="E707" s="7" t="s">
        <v>20</v>
      </c>
    </row>
    <row r="708" spans="1:5" ht="12.75">
      <c r="A708" s="6" t="str">
        <f>HYPERLINK(SUBSTITUTE(T(hl_0),"{0}","900327596304880"),hn_0)</f>
        <v>ОВ</v>
      </c>
      <c r="B708" s="7" t="s">
        <v>67</v>
      </c>
      <c r="C708" s="8">
        <v>5000</v>
      </c>
      <c r="D708" s="7" t="s">
        <v>149</v>
      </c>
      <c r="E708" s="7" t="s">
        <v>20</v>
      </c>
    </row>
    <row r="709" spans="1:5" ht="12.75">
      <c r="A709" s="6" t="str">
        <f>HYPERLINK(SUBSTITUTE(T(hl_0),"{0}","900327598590106"),hn_0)</f>
        <v>ОВ</v>
      </c>
      <c r="B709" s="7" t="s">
        <v>67</v>
      </c>
      <c r="C709" s="8">
        <v>5000</v>
      </c>
      <c r="D709" s="7" t="s">
        <v>133</v>
      </c>
      <c r="E709" s="7" t="s">
        <v>20</v>
      </c>
    </row>
    <row r="710" spans="1:5" ht="12.75">
      <c r="A710" s="6" t="str">
        <f>HYPERLINK(SUBSTITUTE(T(hl_0),"{0}","900327598590106"),hn_0)</f>
        <v>ОВ</v>
      </c>
      <c r="B710" s="7" t="s">
        <v>67</v>
      </c>
      <c r="C710" s="8">
        <v>5000</v>
      </c>
      <c r="D710" s="7" t="s">
        <v>133</v>
      </c>
      <c r="E710" s="7" t="s">
        <v>20</v>
      </c>
    </row>
    <row r="711" spans="1:5" ht="12.75">
      <c r="A711" s="6" t="str">
        <f>HYPERLINK(SUBSTITUTE(T(hl_0),"{0}","900327598621898"),hn_0)</f>
        <v>ОВ</v>
      </c>
      <c r="B711" s="7" t="s">
        <v>67</v>
      </c>
      <c r="C711" s="8">
        <v>5000</v>
      </c>
      <c r="D711" s="7" t="s">
        <v>92</v>
      </c>
      <c r="E711" s="7" t="s">
        <v>20</v>
      </c>
    </row>
    <row r="712" spans="1:5" ht="12.75">
      <c r="A712" s="6" t="str">
        <f>HYPERLINK(SUBSTITUTE(T(hl_0),"{0}","900327598621898"),hn_0)</f>
        <v>ОВ</v>
      </c>
      <c r="B712" s="7" t="s">
        <v>67</v>
      </c>
      <c r="C712" s="8">
        <v>5000</v>
      </c>
      <c r="D712" s="7" t="s">
        <v>92</v>
      </c>
      <c r="E712" s="7" t="s">
        <v>20</v>
      </c>
    </row>
    <row r="713" spans="1:5" ht="12.75">
      <c r="A713" s="6" t="str">
        <f>HYPERLINK(SUBSTITUTE(T(hl_0),"{0}","900327359361179"),hn_0)</f>
        <v>ОВ</v>
      </c>
      <c r="B713" s="7" t="s">
        <v>67</v>
      </c>
      <c r="C713" s="8">
        <v>5000</v>
      </c>
      <c r="D713" s="7" t="s">
        <v>175</v>
      </c>
      <c r="E713" s="7" t="s">
        <v>20</v>
      </c>
    </row>
    <row r="714" spans="1:5" ht="12.75">
      <c r="A714" s="6" t="str">
        <f>HYPERLINK(SUBSTITUTE(T(hl_0),"{0}","900327359361179"),hn_0)</f>
        <v>ОВ</v>
      </c>
      <c r="B714" s="7" t="s">
        <v>67</v>
      </c>
      <c r="C714" s="8">
        <v>5000</v>
      </c>
      <c r="D714" s="7" t="s">
        <v>175</v>
      </c>
      <c r="E714" s="7" t="s">
        <v>20</v>
      </c>
    </row>
    <row r="715" spans="1:5" ht="12.75">
      <c r="A715" s="6" t="str">
        <f>HYPERLINK(SUBSTITUTE(T(hl_0),"{0}","900327598582251"),hn_0)</f>
        <v>ОВ</v>
      </c>
      <c r="B715" s="7" t="s">
        <v>67</v>
      </c>
      <c r="C715" s="8">
        <v>5000</v>
      </c>
      <c r="D715" s="7" t="s">
        <v>90</v>
      </c>
      <c r="E715" s="7" t="s">
        <v>20</v>
      </c>
    </row>
    <row r="716" spans="1:5" ht="12.75">
      <c r="A716" s="6" t="str">
        <f>HYPERLINK(SUBSTITUTE(T(hl_0),"{0}","900327598582251"),hn_0)</f>
        <v>ОВ</v>
      </c>
      <c r="B716" s="7" t="s">
        <v>67</v>
      </c>
      <c r="C716" s="8">
        <v>5000</v>
      </c>
      <c r="D716" s="7" t="s">
        <v>90</v>
      </c>
      <c r="E716" s="7" t="s">
        <v>20</v>
      </c>
    </row>
    <row r="717" spans="1:5" ht="12.75">
      <c r="A717" s="6" t="str">
        <f>HYPERLINK(SUBSTITUTE(T(hl_0),"{0}","900327535604052"),hn_0)</f>
        <v>ОВ</v>
      </c>
      <c r="B717" s="7" t="s">
        <v>67</v>
      </c>
      <c r="C717" s="8">
        <v>5000</v>
      </c>
      <c r="D717" s="7" t="s">
        <v>176</v>
      </c>
      <c r="E717" s="7" t="s">
        <v>20</v>
      </c>
    </row>
    <row r="718" spans="1:5" ht="12.75">
      <c r="A718" s="6" t="str">
        <f>HYPERLINK(SUBSTITUTE(T(hl_0),"{0}","900327535604052"),hn_0)</f>
        <v>ОВ</v>
      </c>
      <c r="B718" s="7" t="s">
        <v>67</v>
      </c>
      <c r="C718" s="8">
        <v>5000</v>
      </c>
      <c r="D718" s="7" t="s">
        <v>176</v>
      </c>
      <c r="E718" s="7" t="s">
        <v>20</v>
      </c>
    </row>
    <row r="719" spans="1:5" ht="12.75">
      <c r="A719" s="6" t="str">
        <f>HYPERLINK(SUBSTITUTE(T(hl_0),"{0}","900327619110850"),hn_0)</f>
        <v>ОВ</v>
      </c>
      <c r="B719" s="7" t="s">
        <v>67</v>
      </c>
      <c r="C719" s="8">
        <v>5000</v>
      </c>
      <c r="D719" s="7" t="s">
        <v>134</v>
      </c>
      <c r="E719" s="7" t="s">
        <v>20</v>
      </c>
    </row>
    <row r="720" spans="1:5" ht="12.75">
      <c r="A720" s="6" t="str">
        <f>HYPERLINK(SUBSTITUTE(T(hl_0),"{0}","900327619110850"),hn_0)</f>
        <v>ОВ</v>
      </c>
      <c r="B720" s="7" t="s">
        <v>67</v>
      </c>
      <c r="C720" s="8">
        <v>5000</v>
      </c>
      <c r="D720" s="7" t="s">
        <v>134</v>
      </c>
      <c r="E720" s="7" t="s">
        <v>20</v>
      </c>
    </row>
    <row r="721" spans="1:5" ht="12.75">
      <c r="A721" s="6" t="str">
        <f>HYPERLINK(SUBSTITUTE(T(hl_0),"{0}","900327536338500"),hn_0)</f>
        <v>ОВ</v>
      </c>
      <c r="B721" s="7" t="s">
        <v>67</v>
      </c>
      <c r="C721" s="8">
        <v>5000</v>
      </c>
      <c r="D721" s="7" t="s">
        <v>177</v>
      </c>
      <c r="E721" s="7" t="s">
        <v>20</v>
      </c>
    </row>
    <row r="722" spans="1:5" ht="12.75">
      <c r="A722" s="6" t="str">
        <f>HYPERLINK(SUBSTITUTE(T(hl_0),"{0}","900327536338500"),hn_0)</f>
        <v>ОВ</v>
      </c>
      <c r="B722" s="7" t="s">
        <v>67</v>
      </c>
      <c r="C722" s="8">
        <v>5000</v>
      </c>
      <c r="D722" s="7" t="s">
        <v>177</v>
      </c>
      <c r="E722" s="7" t="s">
        <v>20</v>
      </c>
    </row>
    <row r="723" spans="1:5" ht="12.75">
      <c r="A723" s="6" t="str">
        <f>HYPERLINK(SUBSTITUTE(T(hl_0),"{0}","900327598477065"),hn_0)</f>
        <v>ОВ</v>
      </c>
      <c r="B723" s="7" t="s">
        <v>67</v>
      </c>
      <c r="C723" s="8">
        <v>5000</v>
      </c>
      <c r="D723" s="7" t="s">
        <v>92</v>
      </c>
      <c r="E723" s="7" t="s">
        <v>20</v>
      </c>
    </row>
    <row r="724" spans="1:5" ht="12.75">
      <c r="A724" s="6" t="str">
        <f>HYPERLINK(SUBSTITUTE(T(hl_0),"{0}","900327598477065"),hn_0)</f>
        <v>ОВ</v>
      </c>
      <c r="B724" s="7" t="s">
        <v>67</v>
      </c>
      <c r="C724" s="8">
        <v>5000</v>
      </c>
      <c r="D724" s="7" t="s">
        <v>92</v>
      </c>
      <c r="E724" s="7" t="s">
        <v>20</v>
      </c>
    </row>
    <row r="725" spans="1:5" ht="12.75">
      <c r="A725" s="6" t="str">
        <f>HYPERLINK(SUBSTITUTE(T(hl_0),"{0}","900327597786838"),hn_0)</f>
        <v>ОВ</v>
      </c>
      <c r="B725" s="7" t="s">
        <v>67</v>
      </c>
      <c r="C725" s="8">
        <v>5000</v>
      </c>
      <c r="D725" s="7" t="s">
        <v>104</v>
      </c>
      <c r="E725" s="7" t="s">
        <v>20</v>
      </c>
    </row>
    <row r="726" spans="1:5" ht="12.75">
      <c r="A726" s="6" t="str">
        <f>HYPERLINK(SUBSTITUTE(T(hl_0),"{0}","900327597786838"),hn_0)</f>
        <v>ОВ</v>
      </c>
      <c r="B726" s="7" t="s">
        <v>67</v>
      </c>
      <c r="C726" s="8">
        <v>5000</v>
      </c>
      <c r="D726" s="7" t="s">
        <v>104</v>
      </c>
      <c r="E726" s="7" t="s">
        <v>20</v>
      </c>
    </row>
    <row r="727" spans="1:5" ht="12.75">
      <c r="A727" s="6" t="str">
        <f>HYPERLINK(SUBSTITUTE(T(hl_0),"{0}","900327535639435"),hn_0)</f>
        <v>ОВ</v>
      </c>
      <c r="B727" s="7" t="s">
        <v>67</v>
      </c>
      <c r="C727" s="8">
        <v>5000</v>
      </c>
      <c r="D727" s="7" t="s">
        <v>75</v>
      </c>
      <c r="E727" s="7" t="s">
        <v>20</v>
      </c>
    </row>
    <row r="728" spans="1:5" ht="12.75">
      <c r="A728" s="6" t="str">
        <f>HYPERLINK(SUBSTITUTE(T(hl_0),"{0}","900327535639435"),hn_0)</f>
        <v>ОВ</v>
      </c>
      <c r="B728" s="7" t="s">
        <v>67</v>
      </c>
      <c r="C728" s="8">
        <v>5000</v>
      </c>
      <c r="D728" s="7" t="s">
        <v>75</v>
      </c>
      <c r="E728" s="7" t="s">
        <v>20</v>
      </c>
    </row>
    <row r="729" spans="1:5" ht="12.75">
      <c r="A729" s="6" t="str">
        <f>HYPERLINK(SUBSTITUTE(T(hl_0),"{0}","900327513095150"),hn_0)</f>
        <v>ОВ</v>
      </c>
      <c r="B729" s="7" t="s">
        <v>67</v>
      </c>
      <c r="C729" s="8">
        <v>5000</v>
      </c>
      <c r="D729" s="7" t="s">
        <v>144</v>
      </c>
      <c r="E729" s="7" t="s">
        <v>20</v>
      </c>
    </row>
    <row r="730" spans="1:5" ht="12.75">
      <c r="A730" s="6" t="str">
        <f>HYPERLINK(SUBSTITUTE(T(hl_0),"{0}","900327513095150"),hn_0)</f>
        <v>ОВ</v>
      </c>
      <c r="B730" s="7" t="s">
        <v>67</v>
      </c>
      <c r="C730" s="8">
        <v>5000</v>
      </c>
      <c r="D730" s="7" t="s">
        <v>144</v>
      </c>
      <c r="E730" s="7" t="s">
        <v>20</v>
      </c>
    </row>
    <row r="731" spans="1:5" ht="12.75">
      <c r="A731" s="6" t="str">
        <f>HYPERLINK(SUBSTITUTE(T(hl_0),"{0}","900327597650749"),hn_0)</f>
        <v>ОВ</v>
      </c>
      <c r="B731" s="7" t="s">
        <v>67</v>
      </c>
      <c r="C731" s="8">
        <v>5000</v>
      </c>
      <c r="D731" s="7" t="s">
        <v>115</v>
      </c>
      <c r="E731" s="7" t="s">
        <v>20</v>
      </c>
    </row>
    <row r="732" spans="1:5" ht="12.75">
      <c r="A732" s="6" t="str">
        <f>HYPERLINK(SUBSTITUTE(T(hl_0),"{0}","900327597650749"),hn_0)</f>
        <v>ОВ</v>
      </c>
      <c r="B732" s="7" t="s">
        <v>67</v>
      </c>
      <c r="C732" s="8">
        <v>5000</v>
      </c>
      <c r="D732" s="7" t="s">
        <v>115</v>
      </c>
      <c r="E732" s="7" t="s">
        <v>20</v>
      </c>
    </row>
    <row r="733" spans="1:5" ht="12.75">
      <c r="A733" s="6" t="str">
        <f>HYPERLINK(SUBSTITUTE(T(hl_0),"{0}","900327362537235"),hn_0)</f>
        <v>ОВ</v>
      </c>
      <c r="B733" s="7" t="s">
        <v>67</v>
      </c>
      <c r="C733" s="8">
        <v>5000</v>
      </c>
      <c r="D733" s="7" t="s">
        <v>117</v>
      </c>
      <c r="E733" s="7" t="s">
        <v>20</v>
      </c>
    </row>
    <row r="734" spans="1:5" ht="12.75">
      <c r="A734" s="6" t="str">
        <f>HYPERLINK(SUBSTITUTE(T(hl_0),"{0}","900327362537235"),hn_0)</f>
        <v>ОВ</v>
      </c>
      <c r="B734" s="7" t="s">
        <v>67</v>
      </c>
      <c r="C734" s="8">
        <v>5000</v>
      </c>
      <c r="D734" s="7" t="s">
        <v>117</v>
      </c>
      <c r="E734" s="7" t="s">
        <v>20</v>
      </c>
    </row>
    <row r="735" spans="1:5" ht="12.75">
      <c r="A735" s="6" t="str">
        <f>HYPERLINK(SUBSTITUTE(T(hl_0),"{0}","900327487698276"),hn_0)</f>
        <v>ОВ</v>
      </c>
      <c r="B735" s="7" t="s">
        <v>67</v>
      </c>
      <c r="C735" s="8">
        <v>5000</v>
      </c>
      <c r="D735" s="7" t="s">
        <v>141</v>
      </c>
      <c r="E735" s="7" t="s">
        <v>20</v>
      </c>
    </row>
    <row r="736" spans="1:5" ht="12.75">
      <c r="A736" s="6" t="str">
        <f>HYPERLINK(SUBSTITUTE(T(hl_0),"{0}","900327487698276"),hn_0)</f>
        <v>ОВ</v>
      </c>
      <c r="B736" s="7" t="s">
        <v>67</v>
      </c>
      <c r="C736" s="8">
        <v>5000</v>
      </c>
      <c r="D736" s="7" t="s">
        <v>141</v>
      </c>
      <c r="E736" s="7" t="s">
        <v>20</v>
      </c>
    </row>
    <row r="737" spans="1:5" ht="12.75">
      <c r="A737" s="6" t="str">
        <f>HYPERLINK(SUBSTITUTE(T(hl_0),"{0}","900327487725540"),hn_0)</f>
        <v>ОВ</v>
      </c>
      <c r="B737" s="7" t="s">
        <v>67</v>
      </c>
      <c r="C737" s="8">
        <v>5000</v>
      </c>
      <c r="D737" s="7" t="s">
        <v>141</v>
      </c>
      <c r="E737" s="7" t="s">
        <v>20</v>
      </c>
    </row>
    <row r="738" spans="1:5" ht="12.75">
      <c r="A738" s="6" t="str">
        <f>HYPERLINK(SUBSTITUTE(T(hl_0),"{0}","900327487725540"),hn_0)</f>
        <v>ОВ</v>
      </c>
      <c r="B738" s="7" t="s">
        <v>67</v>
      </c>
      <c r="C738" s="8">
        <v>5000</v>
      </c>
      <c r="D738" s="7" t="s">
        <v>141</v>
      </c>
      <c r="E738" s="7" t="s">
        <v>20</v>
      </c>
    </row>
    <row r="739" spans="1:5" ht="12.75">
      <c r="A739" s="6" t="str">
        <f>HYPERLINK(SUBSTITUTE(T(hl_0),"{0}","900327487016725"),hn_0)</f>
        <v>ОВ</v>
      </c>
      <c r="B739" s="7" t="s">
        <v>67</v>
      </c>
      <c r="C739" s="8">
        <v>5000</v>
      </c>
      <c r="D739" s="7" t="s">
        <v>130</v>
      </c>
      <c r="E739" s="7" t="s">
        <v>20</v>
      </c>
    </row>
    <row r="740" spans="1:5" ht="12.75">
      <c r="A740" s="6" t="str">
        <f>HYPERLINK(SUBSTITUTE(T(hl_0),"{0}","900327487016725"),hn_0)</f>
        <v>ОВ</v>
      </c>
      <c r="B740" s="7" t="s">
        <v>67</v>
      </c>
      <c r="C740" s="8">
        <v>5000</v>
      </c>
      <c r="D740" s="7" t="s">
        <v>130</v>
      </c>
      <c r="E740" s="7" t="s">
        <v>20</v>
      </c>
    </row>
    <row r="741" spans="1:5" ht="12.75">
      <c r="A741" s="6" t="str">
        <f>HYPERLINK(SUBSTITUTE(T(hl_0),"{0}","900327362748358"),hn_0)</f>
        <v>ОВ</v>
      </c>
      <c r="B741" s="7" t="s">
        <v>67</v>
      </c>
      <c r="C741" s="8">
        <v>5000</v>
      </c>
      <c r="D741" s="7" t="s">
        <v>93</v>
      </c>
      <c r="E741" s="7" t="s">
        <v>20</v>
      </c>
    </row>
    <row r="742" spans="1:5" ht="12.75">
      <c r="A742" s="6" t="str">
        <f>HYPERLINK(SUBSTITUTE(T(hl_0),"{0}","900327362748358"),hn_0)</f>
        <v>ОВ</v>
      </c>
      <c r="B742" s="7" t="s">
        <v>67</v>
      </c>
      <c r="C742" s="8">
        <v>5000</v>
      </c>
      <c r="D742" s="7" t="s">
        <v>93</v>
      </c>
      <c r="E742" s="7" t="s">
        <v>20</v>
      </c>
    </row>
    <row r="743" spans="1:5" ht="12.75">
      <c r="A743" s="6" t="str">
        <f>HYPERLINK(SUBSTITUTE(T(hl_0),"{0}","900327513200777"),hn_0)</f>
        <v>ОВ</v>
      </c>
      <c r="B743" s="7" t="s">
        <v>67</v>
      </c>
      <c r="C743" s="8">
        <v>5000</v>
      </c>
      <c r="D743" s="7" t="s">
        <v>144</v>
      </c>
      <c r="E743" s="7" t="s">
        <v>20</v>
      </c>
    </row>
    <row r="744" spans="1:5" ht="12.75">
      <c r="A744" s="6" t="str">
        <f>HYPERLINK(SUBSTITUTE(T(hl_0),"{0}","900327513200777"),hn_0)</f>
        <v>ОВ</v>
      </c>
      <c r="B744" s="7" t="s">
        <v>67</v>
      </c>
      <c r="C744" s="8">
        <v>5000</v>
      </c>
      <c r="D744" s="7" t="s">
        <v>144</v>
      </c>
      <c r="E744" s="7" t="s">
        <v>20</v>
      </c>
    </row>
    <row r="745" spans="1:5" ht="12.75">
      <c r="A745" s="6" t="str">
        <f>HYPERLINK(SUBSTITUTE(T(hl_0),"{0}","900327513082370"),hn_0)</f>
        <v>ОВ</v>
      </c>
      <c r="B745" s="7" t="s">
        <v>67</v>
      </c>
      <c r="C745" s="8">
        <v>5000</v>
      </c>
      <c r="D745" s="7" t="s">
        <v>143</v>
      </c>
      <c r="E745" s="7" t="s">
        <v>20</v>
      </c>
    </row>
    <row r="746" spans="1:5" ht="12.75">
      <c r="A746" s="6" t="str">
        <f>HYPERLINK(SUBSTITUTE(T(hl_0),"{0}","900327513082370"),hn_0)</f>
        <v>ОВ</v>
      </c>
      <c r="B746" s="7" t="s">
        <v>67</v>
      </c>
      <c r="C746" s="8">
        <v>5000</v>
      </c>
      <c r="D746" s="7" t="s">
        <v>143</v>
      </c>
      <c r="E746" s="7" t="s">
        <v>20</v>
      </c>
    </row>
    <row r="747" spans="1:5" ht="12.75">
      <c r="A747" s="6" t="str">
        <f>HYPERLINK(SUBSTITUTE(T(hl_0),"{0}","900327360253977"),hn_0)</f>
        <v>ОВ</v>
      </c>
      <c r="B747" s="7" t="s">
        <v>67</v>
      </c>
      <c r="C747" s="8">
        <v>5000</v>
      </c>
      <c r="D747" s="7" t="s">
        <v>93</v>
      </c>
      <c r="E747" s="7" t="s">
        <v>20</v>
      </c>
    </row>
    <row r="748" spans="1:5" ht="12.75">
      <c r="A748" s="6" t="str">
        <f>HYPERLINK(SUBSTITUTE(T(hl_0),"{0}","900327360253977"),hn_0)</f>
        <v>ОВ</v>
      </c>
      <c r="B748" s="7" t="s">
        <v>67</v>
      </c>
      <c r="C748" s="8">
        <v>5000</v>
      </c>
      <c r="D748" s="7" t="s">
        <v>93</v>
      </c>
      <c r="E748" s="7" t="s">
        <v>20</v>
      </c>
    </row>
    <row r="749" spans="1:5" ht="12.75">
      <c r="A749" s="6" t="str">
        <f>HYPERLINK(SUBSTITUTE(T(hl_0),"{0}","900327359757038"),hn_0)</f>
        <v>ОВ</v>
      </c>
      <c r="B749" s="7" t="s">
        <v>67</v>
      </c>
      <c r="C749" s="8">
        <v>5000</v>
      </c>
      <c r="D749" s="7" t="s">
        <v>169</v>
      </c>
      <c r="E749" s="7" t="s">
        <v>20</v>
      </c>
    </row>
    <row r="750" spans="1:5" ht="12.75">
      <c r="A750" s="6" t="str">
        <f>HYPERLINK(SUBSTITUTE(T(hl_0),"{0}","900327359757038"),hn_0)</f>
        <v>ОВ</v>
      </c>
      <c r="B750" s="7" t="s">
        <v>67</v>
      </c>
      <c r="C750" s="8">
        <v>5000</v>
      </c>
      <c r="D750" s="7" t="s">
        <v>169</v>
      </c>
      <c r="E750" s="7" t="s">
        <v>20</v>
      </c>
    </row>
    <row r="751" spans="1:5" ht="12.75">
      <c r="A751" s="6" t="str">
        <f>HYPERLINK(SUBSTITUTE(T(hl_0),"{0}","900327468016379"),hn_0)</f>
        <v>ОВ</v>
      </c>
      <c r="B751" s="7" t="s">
        <v>67</v>
      </c>
      <c r="C751" s="8">
        <v>5000</v>
      </c>
      <c r="D751" s="7" t="s">
        <v>141</v>
      </c>
      <c r="E751" s="7" t="s">
        <v>20</v>
      </c>
    </row>
    <row r="752" spans="1:5" ht="12.75">
      <c r="A752" s="6" t="str">
        <f>HYPERLINK(SUBSTITUTE(T(hl_0),"{0}","900327468016379"),hn_0)</f>
        <v>ОВ</v>
      </c>
      <c r="B752" s="7" t="s">
        <v>67</v>
      </c>
      <c r="C752" s="8">
        <v>5000</v>
      </c>
      <c r="D752" s="7" t="s">
        <v>141</v>
      </c>
      <c r="E752" s="7" t="s">
        <v>20</v>
      </c>
    </row>
    <row r="753" spans="1:5" ht="12.75">
      <c r="A753" s="6" t="str">
        <f>HYPERLINK(SUBSTITUTE(T(hl_0),"{0}","900327486916777"),hn_0)</f>
        <v>ОВ</v>
      </c>
      <c r="B753" s="7" t="s">
        <v>67</v>
      </c>
      <c r="C753" s="8">
        <v>5000</v>
      </c>
      <c r="D753" s="7" t="s">
        <v>130</v>
      </c>
      <c r="E753" s="7" t="s">
        <v>20</v>
      </c>
    </row>
    <row r="754" spans="1:5" ht="12.75">
      <c r="A754" s="6" t="str">
        <f>HYPERLINK(SUBSTITUTE(T(hl_0),"{0}","900327486916777"),hn_0)</f>
        <v>ОВ</v>
      </c>
      <c r="B754" s="7" t="s">
        <v>67</v>
      </c>
      <c r="C754" s="8">
        <v>5000</v>
      </c>
      <c r="D754" s="7" t="s">
        <v>130</v>
      </c>
      <c r="E754" s="7" t="s">
        <v>20</v>
      </c>
    </row>
    <row r="755" spans="1:5" ht="12.75">
      <c r="A755" s="6" t="str">
        <f>HYPERLINK(SUBSTITUTE(T(hl_0),"{0}","900327360416157"),hn_0)</f>
        <v>ОВ</v>
      </c>
      <c r="B755" s="7" t="s">
        <v>67</v>
      </c>
      <c r="C755" s="8">
        <v>5000</v>
      </c>
      <c r="D755" s="7" t="s">
        <v>178</v>
      </c>
      <c r="E755" s="7" t="s">
        <v>20</v>
      </c>
    </row>
    <row r="756" spans="1:5" ht="12.75">
      <c r="A756" s="6" t="str">
        <f>HYPERLINK(SUBSTITUTE(T(hl_0),"{0}","900327360416157"),hn_0)</f>
        <v>ОВ</v>
      </c>
      <c r="B756" s="7" t="s">
        <v>67</v>
      </c>
      <c r="C756" s="8">
        <v>5000</v>
      </c>
      <c r="D756" s="7" t="s">
        <v>178</v>
      </c>
      <c r="E756" s="7" t="s">
        <v>20</v>
      </c>
    </row>
    <row r="757" spans="1:5" ht="12.75">
      <c r="A757" s="6" t="str">
        <f>HYPERLINK(SUBSTITUTE(T(hl_0),"{0}","900327361772402"),hn_0)</f>
        <v>ОВ</v>
      </c>
      <c r="B757" s="7" t="s">
        <v>67</v>
      </c>
      <c r="C757" s="8">
        <v>5000</v>
      </c>
      <c r="D757" s="7" t="s">
        <v>109</v>
      </c>
      <c r="E757" s="7" t="s">
        <v>20</v>
      </c>
    </row>
    <row r="758" spans="1:5" ht="12.75">
      <c r="A758" s="6" t="str">
        <f>HYPERLINK(SUBSTITUTE(T(hl_0),"{0}","900327361772402"),hn_0)</f>
        <v>ОВ</v>
      </c>
      <c r="B758" s="7" t="s">
        <v>67</v>
      </c>
      <c r="C758" s="8">
        <v>5000</v>
      </c>
      <c r="D758" s="7" t="s">
        <v>109</v>
      </c>
      <c r="E758" s="7" t="s">
        <v>20</v>
      </c>
    </row>
    <row r="759" spans="1:5" ht="12.75">
      <c r="A759" s="6" t="str">
        <f>HYPERLINK(SUBSTITUTE(T(hl_0),"{0}","900327467663873"),hn_0)</f>
        <v>ОВ</v>
      </c>
      <c r="B759" s="7" t="s">
        <v>67</v>
      </c>
      <c r="C759" s="8">
        <v>5000</v>
      </c>
      <c r="D759" s="7" t="s">
        <v>76</v>
      </c>
      <c r="E759" s="7" t="s">
        <v>20</v>
      </c>
    </row>
    <row r="760" spans="1:5" ht="12.75">
      <c r="A760" s="6" t="str">
        <f>HYPERLINK(SUBSTITUTE(T(hl_0),"{0}","900327467663873"),hn_0)</f>
        <v>ОВ</v>
      </c>
      <c r="B760" s="7" t="s">
        <v>67</v>
      </c>
      <c r="C760" s="8">
        <v>5000</v>
      </c>
      <c r="D760" s="7" t="s">
        <v>76</v>
      </c>
      <c r="E760" s="7" t="s">
        <v>20</v>
      </c>
    </row>
    <row r="761" spans="1:5" ht="12.75">
      <c r="A761" s="6" t="str">
        <f>HYPERLINK(SUBSTITUTE(T(hl_0),"{0}","900327488181113"),hn_0)</f>
        <v>ОВ</v>
      </c>
      <c r="B761" s="7" t="s">
        <v>67</v>
      </c>
      <c r="C761" s="8">
        <v>5000</v>
      </c>
      <c r="D761" s="7" t="s">
        <v>137</v>
      </c>
      <c r="E761" s="7" t="s">
        <v>20</v>
      </c>
    </row>
    <row r="762" spans="1:5" ht="12.75">
      <c r="A762" s="6" t="str">
        <f>HYPERLINK(SUBSTITUTE(T(hl_0),"{0}","900327488181113"),hn_0)</f>
        <v>ОВ</v>
      </c>
      <c r="B762" s="7" t="s">
        <v>67</v>
      </c>
      <c r="C762" s="8">
        <v>5000</v>
      </c>
      <c r="D762" s="7" t="s">
        <v>137</v>
      </c>
      <c r="E762" s="7" t="s">
        <v>20</v>
      </c>
    </row>
    <row r="763" spans="1:5" ht="12.75">
      <c r="A763" s="6" t="str">
        <f>HYPERLINK(SUBSTITUTE(T(hl_0),"{0}","900327513284235"),hn_0)</f>
        <v>ОВ</v>
      </c>
      <c r="B763" s="7" t="s">
        <v>67</v>
      </c>
      <c r="C763" s="8">
        <v>5000</v>
      </c>
      <c r="D763" s="7" t="s">
        <v>179</v>
      </c>
      <c r="E763" s="7" t="s">
        <v>20</v>
      </c>
    </row>
    <row r="764" spans="1:5" ht="12.75">
      <c r="A764" s="6" t="str">
        <f>HYPERLINK(SUBSTITUTE(T(hl_0),"{0}","900327513284235"),hn_0)</f>
        <v>ОВ</v>
      </c>
      <c r="B764" s="7" t="s">
        <v>67</v>
      </c>
      <c r="C764" s="8">
        <v>5000</v>
      </c>
      <c r="D764" s="7" t="s">
        <v>179</v>
      </c>
      <c r="E764" s="7" t="s">
        <v>20</v>
      </c>
    </row>
    <row r="765" spans="1:5" ht="12.75">
      <c r="A765" s="6" t="str">
        <f>HYPERLINK(SUBSTITUTE(T(hl_0),"{0}","900327513005736"),hn_0)</f>
        <v>ОВ</v>
      </c>
      <c r="B765" s="7" t="s">
        <v>67</v>
      </c>
      <c r="C765" s="8">
        <v>5000</v>
      </c>
      <c r="D765" s="7" t="s">
        <v>166</v>
      </c>
      <c r="E765" s="7" t="s">
        <v>20</v>
      </c>
    </row>
    <row r="766" spans="1:5" ht="12.75">
      <c r="A766" s="6" t="str">
        <f>HYPERLINK(SUBSTITUTE(T(hl_0),"{0}","900327513005736"),hn_0)</f>
        <v>ОВ</v>
      </c>
      <c r="B766" s="7" t="s">
        <v>67</v>
      </c>
      <c r="C766" s="8">
        <v>5000</v>
      </c>
      <c r="D766" s="7" t="s">
        <v>166</v>
      </c>
      <c r="E766" s="7" t="s">
        <v>20</v>
      </c>
    </row>
    <row r="767" spans="1:5" ht="12.75">
      <c r="A767" s="6" t="str">
        <f>HYPERLINK(SUBSTITUTE(T(hl_0),"{0}","900327487711917"),hn_0)</f>
        <v>ОВ</v>
      </c>
      <c r="B767" s="7" t="s">
        <v>67</v>
      </c>
      <c r="C767" s="8">
        <v>5000</v>
      </c>
      <c r="D767" s="7" t="s">
        <v>141</v>
      </c>
      <c r="E767" s="7" t="s">
        <v>20</v>
      </c>
    </row>
    <row r="768" spans="1:5" ht="12.75">
      <c r="A768" s="6" t="str">
        <f>HYPERLINK(SUBSTITUTE(T(hl_0),"{0}","900327487711917"),hn_0)</f>
        <v>ОВ</v>
      </c>
      <c r="B768" s="7" t="s">
        <v>67</v>
      </c>
      <c r="C768" s="8">
        <v>5000</v>
      </c>
      <c r="D768" s="7" t="s">
        <v>141</v>
      </c>
      <c r="E768" s="7" t="s">
        <v>20</v>
      </c>
    </row>
    <row r="769" spans="1:5" ht="12.75">
      <c r="A769" s="6" t="str">
        <f>HYPERLINK(SUBSTITUTE(T(hl_0),"{0}","900327361238481"),hn_0)</f>
        <v>ОВ</v>
      </c>
      <c r="B769" s="7" t="s">
        <v>67</v>
      </c>
      <c r="C769" s="8">
        <v>5000</v>
      </c>
      <c r="D769" s="7" t="s">
        <v>180</v>
      </c>
      <c r="E769" s="7" t="s">
        <v>20</v>
      </c>
    </row>
    <row r="770" spans="1:5" ht="12.75">
      <c r="A770" s="6" t="str">
        <f>HYPERLINK(SUBSTITUTE(T(hl_0),"{0}","900327361238481"),hn_0)</f>
        <v>ОВ</v>
      </c>
      <c r="B770" s="7" t="s">
        <v>67</v>
      </c>
      <c r="C770" s="8">
        <v>5000</v>
      </c>
      <c r="D770" s="7" t="s">
        <v>180</v>
      </c>
      <c r="E770" s="7" t="s">
        <v>20</v>
      </c>
    </row>
    <row r="771" spans="1:5" ht="12.75">
      <c r="A771" s="6" t="str">
        <f>HYPERLINK(SUBSTITUTE(T(hl_0),"{0}","900327513234815"),hn_0)</f>
        <v>ОВ</v>
      </c>
      <c r="B771" s="7" t="s">
        <v>67</v>
      </c>
      <c r="C771" s="8">
        <v>5000</v>
      </c>
      <c r="D771" s="7" t="s">
        <v>144</v>
      </c>
      <c r="E771" s="7" t="s">
        <v>20</v>
      </c>
    </row>
    <row r="772" spans="1:5" ht="12.75">
      <c r="A772" s="6" t="str">
        <f>HYPERLINK(SUBSTITUTE(T(hl_0),"{0}","900327513234815"),hn_0)</f>
        <v>ОВ</v>
      </c>
      <c r="B772" s="7" t="s">
        <v>67</v>
      </c>
      <c r="C772" s="8">
        <v>5000</v>
      </c>
      <c r="D772" s="7" t="s">
        <v>144</v>
      </c>
      <c r="E772" s="7" t="s">
        <v>20</v>
      </c>
    </row>
    <row r="773" spans="1:5" ht="12.75">
      <c r="A773" s="6" t="str">
        <f>HYPERLINK(SUBSTITUTE(T(hl_0),"{0}","900327487745503"),hn_0)</f>
        <v>ОВ</v>
      </c>
      <c r="B773" s="7" t="s">
        <v>67</v>
      </c>
      <c r="C773" s="8">
        <v>5000</v>
      </c>
      <c r="D773" s="7" t="s">
        <v>181</v>
      </c>
      <c r="E773" s="7" t="s">
        <v>20</v>
      </c>
    </row>
    <row r="774" spans="1:5" ht="12.75">
      <c r="A774" s="6" t="str">
        <f>HYPERLINK(SUBSTITUTE(T(hl_0),"{0}","900327487745503"),hn_0)</f>
        <v>ОВ</v>
      </c>
      <c r="B774" s="7" t="s">
        <v>67</v>
      </c>
      <c r="C774" s="8">
        <v>5000</v>
      </c>
      <c r="D774" s="7" t="s">
        <v>181</v>
      </c>
      <c r="E774" s="7" t="s">
        <v>20</v>
      </c>
    </row>
    <row r="775" spans="1:5" ht="12.75">
      <c r="A775" s="6" t="str">
        <f>HYPERLINK(SUBSTITUTE(T(hl_0),"{0}","900327340368621"),hn_0)</f>
        <v>ОВ</v>
      </c>
      <c r="B775" s="7" t="s">
        <v>67</v>
      </c>
      <c r="C775" s="8">
        <v>5000</v>
      </c>
      <c r="D775" s="7" t="s">
        <v>135</v>
      </c>
      <c r="E775" s="7" t="s">
        <v>20</v>
      </c>
    </row>
    <row r="776" spans="1:5" ht="12.75">
      <c r="A776" s="6" t="str">
        <f>HYPERLINK(SUBSTITUTE(T(hl_0),"{0}","900327340368621"),hn_0)</f>
        <v>ОВ</v>
      </c>
      <c r="B776" s="7" t="s">
        <v>67</v>
      </c>
      <c r="C776" s="8">
        <v>5000</v>
      </c>
      <c r="D776" s="7" t="s">
        <v>135</v>
      </c>
      <c r="E776" s="7" t="s">
        <v>20</v>
      </c>
    </row>
    <row r="777" spans="1:5" ht="12.75">
      <c r="A777" s="6" t="str">
        <f>HYPERLINK(SUBSTITUTE(T(hl_0),"{0}","900327340368630"),hn_0)</f>
        <v>ОВ</v>
      </c>
      <c r="B777" s="7" t="s">
        <v>67</v>
      </c>
      <c r="C777" s="8">
        <v>5000</v>
      </c>
      <c r="D777" s="7" t="s">
        <v>135</v>
      </c>
      <c r="E777" s="7" t="s">
        <v>20</v>
      </c>
    </row>
    <row r="778" spans="1:5" ht="12.75">
      <c r="A778" s="6" t="str">
        <f>HYPERLINK(SUBSTITUTE(T(hl_0),"{0}","900327340368630"),hn_0)</f>
        <v>ОВ</v>
      </c>
      <c r="B778" s="7" t="s">
        <v>67</v>
      </c>
      <c r="C778" s="8">
        <v>5000</v>
      </c>
      <c r="D778" s="7" t="s">
        <v>135</v>
      </c>
      <c r="E778" s="7" t="s">
        <v>20</v>
      </c>
    </row>
    <row r="779" spans="1:5" ht="12.75">
      <c r="A779" s="6" t="str">
        <f>HYPERLINK(SUBSTITUTE(T(hl_0),"{0}","900327362330423"),hn_0)</f>
        <v>ОВ</v>
      </c>
      <c r="B779" s="7" t="s">
        <v>67</v>
      </c>
      <c r="C779" s="8">
        <v>5000</v>
      </c>
      <c r="D779" s="7" t="s">
        <v>109</v>
      </c>
      <c r="E779" s="7" t="s">
        <v>20</v>
      </c>
    </row>
    <row r="780" spans="1:5" ht="12.75">
      <c r="A780" s="6" t="str">
        <f>HYPERLINK(SUBSTITUTE(T(hl_0),"{0}","900327362330423"),hn_0)</f>
        <v>ОВ</v>
      </c>
      <c r="B780" s="7" t="s">
        <v>67</v>
      </c>
      <c r="C780" s="8">
        <v>5000</v>
      </c>
      <c r="D780" s="7" t="s">
        <v>109</v>
      </c>
      <c r="E780" s="7" t="s">
        <v>20</v>
      </c>
    </row>
    <row r="781" spans="1:5" ht="12.75">
      <c r="A781" s="6" t="str">
        <f>HYPERLINK(SUBSTITUTE(T(hl_0),"{0}","900327513249892"),hn_0)</f>
        <v>ОВ</v>
      </c>
      <c r="B781" s="7" t="s">
        <v>67</v>
      </c>
      <c r="C781" s="8">
        <v>5000</v>
      </c>
      <c r="D781" s="7" t="s">
        <v>102</v>
      </c>
      <c r="E781" s="7" t="s">
        <v>20</v>
      </c>
    </row>
    <row r="782" spans="1:5" ht="12.75">
      <c r="A782" s="6" t="str">
        <f>HYPERLINK(SUBSTITUTE(T(hl_0),"{0}","900327513249892"),hn_0)</f>
        <v>ОВ</v>
      </c>
      <c r="B782" s="7" t="s">
        <v>67</v>
      </c>
      <c r="C782" s="8">
        <v>5000</v>
      </c>
      <c r="D782" s="7" t="s">
        <v>102</v>
      </c>
      <c r="E782" s="7" t="s">
        <v>20</v>
      </c>
    </row>
    <row r="783" spans="1:5" ht="12.75">
      <c r="A783" s="6" t="str">
        <f>HYPERLINK(SUBSTITUTE(T(hl_0),"{0}","900327467757570"),hn_0)</f>
        <v>ОВ</v>
      </c>
      <c r="B783" s="7" t="s">
        <v>67</v>
      </c>
      <c r="C783" s="8">
        <v>5000</v>
      </c>
      <c r="D783" s="7" t="s">
        <v>182</v>
      </c>
      <c r="E783" s="7" t="s">
        <v>20</v>
      </c>
    </row>
    <row r="784" spans="1:5" ht="12.75">
      <c r="A784" s="6" t="str">
        <f>HYPERLINK(SUBSTITUTE(T(hl_0),"{0}","900327467757570"),hn_0)</f>
        <v>ОВ</v>
      </c>
      <c r="B784" s="7" t="s">
        <v>67</v>
      </c>
      <c r="C784" s="8">
        <v>5000</v>
      </c>
      <c r="D784" s="7" t="s">
        <v>182</v>
      </c>
      <c r="E784" s="7" t="s">
        <v>20</v>
      </c>
    </row>
    <row r="785" spans="1:5" ht="12.75">
      <c r="A785" s="6" t="str">
        <f>HYPERLINK(SUBSTITUTE(T(hl_0),"{0}","900327467956483"),hn_0)</f>
        <v>ОВ</v>
      </c>
      <c r="B785" s="7" t="s">
        <v>67</v>
      </c>
      <c r="C785" s="8">
        <v>5000</v>
      </c>
      <c r="D785" s="7" t="s">
        <v>130</v>
      </c>
      <c r="E785" s="7" t="s">
        <v>20</v>
      </c>
    </row>
    <row r="786" spans="1:5" ht="12.75">
      <c r="A786" s="6" t="str">
        <f>HYPERLINK(SUBSTITUTE(T(hl_0),"{0}","900327467956483"),hn_0)</f>
        <v>ОВ</v>
      </c>
      <c r="B786" s="7" t="s">
        <v>67</v>
      </c>
      <c r="C786" s="8">
        <v>5000</v>
      </c>
      <c r="D786" s="7" t="s">
        <v>130</v>
      </c>
      <c r="E786" s="7" t="s">
        <v>20</v>
      </c>
    </row>
    <row r="787" spans="1:5" ht="12.75">
      <c r="A787" s="6" t="str">
        <f>HYPERLINK(SUBSTITUTE(T(hl_0),"{0}","900332583063074"),hn_0)</f>
        <v>ОВ</v>
      </c>
      <c r="B787" s="7" t="s">
        <v>183</v>
      </c>
      <c r="C787" s="8">
        <v>8800</v>
      </c>
      <c r="D787" s="7" t="s">
        <v>53</v>
      </c>
      <c r="E787" s="7" t="s">
        <v>20</v>
      </c>
    </row>
    <row r="788" spans="1:5" ht="12.75">
      <c r="A788" s="6" t="str">
        <f>HYPERLINK(SUBSTITUTE(T(hl_0),"{0}","900332680045227"),hn_0)</f>
        <v>ОВ</v>
      </c>
      <c r="B788" s="7" t="s">
        <v>184</v>
      </c>
      <c r="C788" s="8">
        <v>5000</v>
      </c>
      <c r="D788" s="7" t="s">
        <v>11</v>
      </c>
      <c r="E788" s="7" t="s">
        <v>20</v>
      </c>
    </row>
    <row r="789" spans="1:5" ht="12.75">
      <c r="A789" s="6" t="str">
        <f>HYPERLINK(SUBSTITUTE(T(hl_0),"{0}","900332146928424"),hn_0)</f>
        <v>ОВ</v>
      </c>
      <c r="B789" s="7" t="s">
        <v>184</v>
      </c>
      <c r="C789" s="8">
        <v>6000</v>
      </c>
      <c r="D789" s="7" t="s">
        <v>11</v>
      </c>
      <c r="E789" s="7" t="s">
        <v>20</v>
      </c>
    </row>
    <row r="790" spans="1:5" ht="12.75">
      <c r="A790" s="6" t="str">
        <f>HYPERLINK(SUBSTITUTE(T(hl_0),"{0}","900332649235680"),hn_0)</f>
        <v>ОВ</v>
      </c>
      <c r="B790" s="7" t="s">
        <v>185</v>
      </c>
      <c r="C790" s="8">
        <v>9000</v>
      </c>
      <c r="D790" s="7" t="s">
        <v>11</v>
      </c>
      <c r="E790" s="7" t="s">
        <v>20</v>
      </c>
    </row>
    <row r="791" spans="1:5" ht="12.75">
      <c r="A791" s="6" t="str">
        <f>HYPERLINK(SUBSTITUTE(T(hl_0),"{0}","900327860367113"),hn_0)</f>
        <v>ОВ</v>
      </c>
      <c r="B791" s="7" t="s">
        <v>186</v>
      </c>
      <c r="C791" s="8">
        <v>6200</v>
      </c>
      <c r="D791" s="7" t="s">
        <v>11</v>
      </c>
      <c r="E791" s="7" t="s">
        <v>20</v>
      </c>
    </row>
    <row r="792" spans="1:5" ht="12.75">
      <c r="A792" s="6" t="str">
        <f>HYPERLINK(SUBSTITUTE(T(hl_0),"{0}","319332762106717"),hn_0)</f>
        <v>ОВ</v>
      </c>
      <c r="B792" s="7" t="s">
        <v>187</v>
      </c>
      <c r="C792" s="8">
        <v>6000</v>
      </c>
      <c r="D792" s="7" t="s">
        <v>14</v>
      </c>
      <c r="E792" s="7" t="s">
        <v>15</v>
      </c>
    </row>
    <row r="793" spans="1:5" ht="12.75">
      <c r="A793" s="6" t="str">
        <f>HYPERLINK(SUBSTITUTE(T(hl_0),"{0}","319332531964429"),hn_0)</f>
        <v>ОВ</v>
      </c>
      <c r="B793" s="7" t="s">
        <v>187</v>
      </c>
      <c r="C793" s="8">
        <v>5050</v>
      </c>
      <c r="D793" s="7" t="s">
        <v>14</v>
      </c>
      <c r="E793" s="7" t="s">
        <v>15</v>
      </c>
    </row>
    <row r="794" spans="1:5" ht="12.75">
      <c r="A794" s="6" t="str">
        <f>HYPERLINK(SUBSTITUTE(T(hl_0),"{0}","319332531964485"),hn_0)</f>
        <v>ОВ</v>
      </c>
      <c r="B794" s="7" t="s">
        <v>187</v>
      </c>
      <c r="C794" s="8">
        <v>5050</v>
      </c>
      <c r="D794" s="7" t="s">
        <v>14</v>
      </c>
      <c r="E794" s="7" t="s">
        <v>15</v>
      </c>
    </row>
    <row r="795" spans="1:5" ht="12.75">
      <c r="A795" s="6" t="str">
        <f>HYPERLINK(SUBSTITUTE(T(hl_0),"{0}","319332531964474"),hn_0)</f>
        <v>ОВ</v>
      </c>
      <c r="B795" s="7" t="s">
        <v>187</v>
      </c>
      <c r="C795" s="8">
        <v>5050</v>
      </c>
      <c r="D795" s="7" t="s">
        <v>14</v>
      </c>
      <c r="E795" s="7" t="s">
        <v>15</v>
      </c>
    </row>
    <row r="796" spans="1:5" ht="12.75">
      <c r="A796" s="6" t="str">
        <f>HYPERLINK(SUBSTITUTE(T(hl_0),"{0}","319332531964491"),hn_0)</f>
        <v>ОВ</v>
      </c>
      <c r="B796" s="7" t="s">
        <v>187</v>
      </c>
      <c r="C796" s="8">
        <v>5050</v>
      </c>
      <c r="D796" s="7" t="s">
        <v>14</v>
      </c>
      <c r="E796" s="7" t="s">
        <v>15</v>
      </c>
    </row>
    <row r="797" spans="1:5" ht="12.75">
      <c r="A797" s="6" t="str">
        <f>HYPERLINK(SUBSTITUTE(T(hl_0),"{0}","319332531959019"),hn_0)</f>
        <v>ОВ</v>
      </c>
      <c r="B797" s="7" t="s">
        <v>187</v>
      </c>
      <c r="C797" s="8">
        <v>5050</v>
      </c>
      <c r="D797" s="7" t="s">
        <v>14</v>
      </c>
      <c r="E797" s="7" t="s">
        <v>15</v>
      </c>
    </row>
    <row r="798" spans="1:5" ht="12.75">
      <c r="A798" s="6" t="str">
        <f>HYPERLINK(SUBSTITUTE(T(hl_0),"{0}","319332531964497"),hn_0)</f>
        <v>ОВ</v>
      </c>
      <c r="B798" s="7" t="s">
        <v>187</v>
      </c>
      <c r="C798" s="8">
        <v>5050</v>
      </c>
      <c r="D798" s="7" t="s">
        <v>14</v>
      </c>
      <c r="E798" s="7" t="s">
        <v>15</v>
      </c>
    </row>
    <row r="799" spans="1:5" ht="12.75">
      <c r="A799" s="6" t="str">
        <f>HYPERLINK(SUBSTITUTE(T(hl_0),"{0}","319332762133784"),hn_0)</f>
        <v>ОВ</v>
      </c>
      <c r="B799" s="7" t="s">
        <v>187</v>
      </c>
      <c r="C799" s="8">
        <v>6000</v>
      </c>
      <c r="D799" s="7" t="s">
        <v>14</v>
      </c>
      <c r="E799" s="7" t="s">
        <v>15</v>
      </c>
    </row>
    <row r="800" spans="1:5" ht="12.75">
      <c r="A800" s="6" t="str">
        <f>HYPERLINK(SUBSTITUTE(T(hl_0),"{0}","321332319046735"),hn_0)</f>
        <v>ОВ</v>
      </c>
      <c r="B800" s="7" t="s">
        <v>187</v>
      </c>
      <c r="C800" s="8">
        <v>5500</v>
      </c>
      <c r="D800" s="7" t="s">
        <v>18</v>
      </c>
      <c r="E800" s="7" t="s">
        <v>19</v>
      </c>
    </row>
    <row r="801" spans="1:5" ht="12.75">
      <c r="A801" s="6" t="str">
        <f>HYPERLINK(SUBSTITUTE(T(hl_0),"{0}","321332319046735"),hn_0)</f>
        <v>ОВ</v>
      </c>
      <c r="B801" s="7" t="s">
        <v>187</v>
      </c>
      <c r="C801" s="8">
        <v>5500</v>
      </c>
      <c r="D801" s="7" t="s">
        <v>18</v>
      </c>
      <c r="E801" s="7" t="s">
        <v>19</v>
      </c>
    </row>
    <row r="802" spans="1:5" ht="12.75">
      <c r="A802" s="6" t="str">
        <f>HYPERLINK(SUBSTITUTE(T(hl_0),"{0}","321331674094402"),hn_0)</f>
        <v>ОВ</v>
      </c>
      <c r="B802" s="7" t="s">
        <v>187</v>
      </c>
      <c r="C802" s="8">
        <v>6000</v>
      </c>
      <c r="D802" s="7" t="s">
        <v>18</v>
      </c>
      <c r="E802" s="7" t="s">
        <v>19</v>
      </c>
    </row>
    <row r="803" spans="1:5" ht="12.75">
      <c r="A803" s="6" t="str">
        <f>HYPERLINK(SUBSTITUTE(T(hl_0),"{0}","321332505023936"),hn_0)</f>
        <v>ОВ</v>
      </c>
      <c r="B803" s="7" t="s">
        <v>187</v>
      </c>
      <c r="C803" s="8">
        <v>5000</v>
      </c>
      <c r="D803" s="7" t="s">
        <v>18</v>
      </c>
      <c r="E803" s="7" t="s">
        <v>19</v>
      </c>
    </row>
    <row r="804" spans="1:5" ht="12.75">
      <c r="A804" s="6" t="str">
        <f>HYPERLINK(SUBSTITUTE(T(hl_0),"{0}","321332220398752"),hn_0)</f>
        <v>ОВ</v>
      </c>
      <c r="B804" s="7" t="s">
        <v>187</v>
      </c>
      <c r="C804" s="8">
        <v>5200</v>
      </c>
      <c r="D804" s="7" t="s">
        <v>18</v>
      </c>
      <c r="E804" s="7" t="s">
        <v>19</v>
      </c>
    </row>
    <row r="805" spans="1:5" ht="12.75">
      <c r="A805" s="6" t="str">
        <f>HYPERLINK(SUBSTITUTE(T(hl_0),"{0}","321332505053006"),hn_0)</f>
        <v>ОВ</v>
      </c>
      <c r="B805" s="7" t="s">
        <v>187</v>
      </c>
      <c r="C805" s="8">
        <v>5000</v>
      </c>
      <c r="D805" s="7" t="s">
        <v>18</v>
      </c>
      <c r="E805" s="7" t="s">
        <v>19</v>
      </c>
    </row>
    <row r="806" spans="1:5" ht="12.75">
      <c r="A806" s="6" t="str">
        <f>HYPERLINK(SUBSTITUTE(T(hl_0),"{0}","322331558571923"),hn_0)</f>
        <v>ОВ</v>
      </c>
      <c r="B806" s="7" t="s">
        <v>187</v>
      </c>
      <c r="C806" s="8">
        <v>5000</v>
      </c>
      <c r="D806" s="7" t="s">
        <v>36</v>
      </c>
      <c r="E806" s="7" t="s">
        <v>47</v>
      </c>
    </row>
    <row r="807" spans="1:5" ht="12.75">
      <c r="A807" s="6" t="str">
        <f>HYPERLINK(SUBSTITUTE(T(hl_0),"{0}","322331483024682"),hn_0)</f>
        <v>ОВ</v>
      </c>
      <c r="B807" s="7" t="s">
        <v>187</v>
      </c>
      <c r="C807" s="8">
        <v>5000</v>
      </c>
      <c r="D807" s="7" t="s">
        <v>188</v>
      </c>
      <c r="E807" s="7" t="s">
        <v>47</v>
      </c>
    </row>
    <row r="808" spans="1:5" ht="12.75">
      <c r="A808" s="6" t="str">
        <f>HYPERLINK(SUBSTITUTE(T(hl_0),"{0}","324332581752229"),hn_0)</f>
        <v>ОВ</v>
      </c>
      <c r="B808" s="7" t="s">
        <v>187</v>
      </c>
      <c r="C808" s="8">
        <v>5000</v>
      </c>
      <c r="D808" s="7" t="s">
        <v>189</v>
      </c>
      <c r="E808" s="7" t="s">
        <v>190</v>
      </c>
    </row>
    <row r="809" spans="1:5" ht="12.75">
      <c r="A809" s="6" t="str">
        <f>HYPERLINK(SUBSTITUTE(T(hl_0),"{0}","327332704467536"),hn_0)</f>
        <v>ОВ</v>
      </c>
      <c r="B809" s="7" t="s">
        <v>187</v>
      </c>
      <c r="C809" s="8">
        <v>5000</v>
      </c>
      <c r="D809" s="7" t="s">
        <v>191</v>
      </c>
      <c r="E809" s="7" t="s">
        <v>12</v>
      </c>
    </row>
    <row r="810" spans="1:5" ht="12.75">
      <c r="A810" s="6" t="str">
        <f>HYPERLINK(SUBSTITUTE(T(hl_0),"{0}","327332147880330"),hn_0)</f>
        <v>ОВ</v>
      </c>
      <c r="B810" s="7" t="s">
        <v>187</v>
      </c>
      <c r="C810" s="8">
        <v>6000</v>
      </c>
      <c r="D810" s="7" t="s">
        <v>11</v>
      </c>
      <c r="E810" s="7" t="s">
        <v>12</v>
      </c>
    </row>
    <row r="811" spans="1:5" ht="12.75">
      <c r="A811" s="6" t="str">
        <f>HYPERLINK(SUBSTITUTE(T(hl_0),"{0}","328332825645698"),hn_0)</f>
        <v>ОВ</v>
      </c>
      <c r="B811" s="7" t="s">
        <v>187</v>
      </c>
      <c r="C811" s="8">
        <v>7000</v>
      </c>
      <c r="D811" s="7" t="s">
        <v>192</v>
      </c>
      <c r="E811" s="7" t="s">
        <v>58</v>
      </c>
    </row>
    <row r="812" spans="1:5" ht="12.75">
      <c r="A812" s="6" t="str">
        <f>HYPERLINK(SUBSTITUTE(T(hl_0),"{0}","328332418544438"),hn_0)</f>
        <v>ОВ</v>
      </c>
      <c r="B812" s="7" t="s">
        <v>187</v>
      </c>
      <c r="C812" s="8">
        <v>5000</v>
      </c>
      <c r="D812" s="7" t="s">
        <v>99</v>
      </c>
      <c r="E812" s="7" t="s">
        <v>58</v>
      </c>
    </row>
    <row r="813" spans="1:5" ht="12.75">
      <c r="A813" s="6" t="str">
        <f>HYPERLINK(SUBSTITUTE(T(hl_0),"{0}","328332418544430"),hn_0)</f>
        <v>ОВ</v>
      </c>
      <c r="B813" s="7" t="s">
        <v>187</v>
      </c>
      <c r="C813" s="8">
        <v>5000</v>
      </c>
      <c r="D813" s="7" t="s">
        <v>99</v>
      </c>
      <c r="E813" s="7" t="s">
        <v>58</v>
      </c>
    </row>
    <row r="814" spans="1:5" ht="12.75">
      <c r="A814" s="6" t="str">
        <f>HYPERLINK(SUBSTITUTE(T(hl_0),"{0}","328332418544446"),hn_0)</f>
        <v>ОВ</v>
      </c>
      <c r="B814" s="7" t="s">
        <v>187</v>
      </c>
      <c r="C814" s="8">
        <v>5000</v>
      </c>
      <c r="D814" s="7" t="s">
        <v>99</v>
      </c>
      <c r="E814" s="7" t="s">
        <v>58</v>
      </c>
    </row>
    <row r="815" spans="1:5" ht="12.75">
      <c r="A815" s="6" t="str">
        <f>HYPERLINK(SUBSTITUTE(T(hl_0),"{0}","328332418542224"),hn_0)</f>
        <v>ОВ</v>
      </c>
      <c r="B815" s="7" t="s">
        <v>187</v>
      </c>
      <c r="C815" s="8">
        <v>5000</v>
      </c>
      <c r="D815" s="7" t="s">
        <v>57</v>
      </c>
      <c r="E815" s="7" t="s">
        <v>58</v>
      </c>
    </row>
    <row r="816" spans="1:5" ht="12.75">
      <c r="A816" s="6" t="str">
        <f>HYPERLINK(SUBSTITUTE(T(hl_0),"{0}","328332418544416"),hn_0)</f>
        <v>ОВ</v>
      </c>
      <c r="B816" s="7" t="s">
        <v>187</v>
      </c>
      <c r="C816" s="8">
        <v>5000</v>
      </c>
      <c r="D816" s="7" t="s">
        <v>99</v>
      </c>
      <c r="E816" s="7" t="s">
        <v>58</v>
      </c>
    </row>
    <row r="817" spans="1:5" ht="12.75">
      <c r="A817" s="6" t="str">
        <f>HYPERLINK(SUBSTITUTE(T(hl_0),"{0}","328332418544423"),hn_0)</f>
        <v>ОВ</v>
      </c>
      <c r="B817" s="7" t="s">
        <v>187</v>
      </c>
      <c r="C817" s="8">
        <v>5000</v>
      </c>
      <c r="D817" s="7" t="s">
        <v>99</v>
      </c>
      <c r="E817" s="7" t="s">
        <v>58</v>
      </c>
    </row>
    <row r="818" spans="1:5" ht="25.5">
      <c r="A818" s="6" t="str">
        <f>HYPERLINK(SUBSTITUTE(T(hl_0),"{0}","328332148220817"),hn_0)</f>
        <v>ОВ</v>
      </c>
      <c r="B818" s="7" t="s">
        <v>187</v>
      </c>
      <c r="C818" s="8">
        <v>6000</v>
      </c>
      <c r="D818" s="7" t="s">
        <v>193</v>
      </c>
      <c r="E818" s="7" t="s">
        <v>58</v>
      </c>
    </row>
    <row r="819" spans="1:5" ht="25.5">
      <c r="A819" s="6" t="str">
        <f>HYPERLINK(SUBSTITUTE(T(hl_0),"{0}","328332148220817"),hn_0)</f>
        <v>ОВ</v>
      </c>
      <c r="B819" s="7" t="s">
        <v>187</v>
      </c>
      <c r="C819" s="8">
        <v>6000</v>
      </c>
      <c r="D819" s="7" t="s">
        <v>193</v>
      </c>
      <c r="E819" s="7" t="s">
        <v>58</v>
      </c>
    </row>
    <row r="820" spans="1:5" ht="12.75">
      <c r="A820" s="6" t="str">
        <f>HYPERLINK(SUBSTITUTE(T(hl_0),"{0}","329331649152029"),hn_0)</f>
        <v>ОВ</v>
      </c>
      <c r="B820" s="7" t="s">
        <v>187</v>
      </c>
      <c r="C820" s="8">
        <v>6500</v>
      </c>
      <c r="D820" s="7" t="s">
        <v>42</v>
      </c>
      <c r="E820" s="7" t="s">
        <v>43</v>
      </c>
    </row>
    <row r="821" spans="1:5" ht="12.75">
      <c r="A821" s="6" t="str">
        <f>HYPERLINK(SUBSTITUTE(T(hl_0),"{0}","330332580898481"),hn_0)</f>
        <v>ОВ</v>
      </c>
      <c r="B821" s="7" t="s">
        <v>187</v>
      </c>
      <c r="C821" s="8">
        <v>5500</v>
      </c>
      <c r="D821" s="7" t="s">
        <v>44</v>
      </c>
      <c r="E821" s="7" t="s">
        <v>29</v>
      </c>
    </row>
    <row r="822" spans="1:5" ht="12.75">
      <c r="A822" s="6" t="str">
        <f>HYPERLINK(SUBSTITUTE(T(hl_0),"{0}","330332580898517"),hn_0)</f>
        <v>ОВ</v>
      </c>
      <c r="B822" s="7" t="s">
        <v>187</v>
      </c>
      <c r="C822" s="8">
        <v>5500</v>
      </c>
      <c r="D822" s="7" t="s">
        <v>44</v>
      </c>
      <c r="E822" s="7" t="s">
        <v>29</v>
      </c>
    </row>
    <row r="823" spans="1:5" ht="12.75">
      <c r="A823" s="6" t="str">
        <f>HYPERLINK(SUBSTITUTE(T(hl_0),"{0}","330332580898357"),hn_0)</f>
        <v>ОВ</v>
      </c>
      <c r="B823" s="7" t="s">
        <v>187</v>
      </c>
      <c r="C823" s="8">
        <v>5500</v>
      </c>
      <c r="D823" s="7" t="s">
        <v>44</v>
      </c>
      <c r="E823" s="7" t="s">
        <v>29</v>
      </c>
    </row>
    <row r="824" spans="1:5" ht="12.75">
      <c r="A824" s="6" t="str">
        <f>HYPERLINK(SUBSTITUTE(T(hl_0),"{0}","330332580898424"),hn_0)</f>
        <v>ОВ</v>
      </c>
      <c r="B824" s="7" t="s">
        <v>187</v>
      </c>
      <c r="C824" s="8">
        <v>5500</v>
      </c>
      <c r="D824" s="7" t="s">
        <v>44</v>
      </c>
      <c r="E824" s="7" t="s">
        <v>29</v>
      </c>
    </row>
    <row r="825" spans="1:5" ht="12.75">
      <c r="A825" s="6" t="str">
        <f>HYPERLINK(SUBSTITUTE(T(hl_0),"{0}","330332580898369"),hn_0)</f>
        <v>ОВ</v>
      </c>
      <c r="B825" s="7" t="s">
        <v>187</v>
      </c>
      <c r="C825" s="8">
        <v>5500</v>
      </c>
      <c r="D825" s="7" t="s">
        <v>44</v>
      </c>
      <c r="E825" s="7" t="s">
        <v>29</v>
      </c>
    </row>
    <row r="826" spans="1:5" ht="12.75">
      <c r="A826" s="6" t="str">
        <f>HYPERLINK(SUBSTITUTE(T(hl_0),"{0}","330332580898348"),hn_0)</f>
        <v>ОВ</v>
      </c>
      <c r="B826" s="7" t="s">
        <v>187</v>
      </c>
      <c r="C826" s="8">
        <v>5500</v>
      </c>
      <c r="D826" s="7" t="s">
        <v>44</v>
      </c>
      <c r="E826" s="7" t="s">
        <v>29</v>
      </c>
    </row>
    <row r="827" spans="1:5" ht="12.75">
      <c r="A827" s="6" t="str">
        <f>HYPERLINK(SUBSTITUTE(T(hl_0),"{0}","330332580898399"),hn_0)</f>
        <v>ОВ</v>
      </c>
      <c r="B827" s="7" t="s">
        <v>187</v>
      </c>
      <c r="C827" s="8">
        <v>5500</v>
      </c>
      <c r="D827" s="7" t="s">
        <v>44</v>
      </c>
      <c r="E827" s="7" t="s">
        <v>29</v>
      </c>
    </row>
    <row r="828" spans="1:5" ht="12.75">
      <c r="A828" s="6" t="str">
        <f>HYPERLINK(SUBSTITUTE(T(hl_0),"{0}","330332580898413"),hn_0)</f>
        <v>ОВ</v>
      </c>
      <c r="B828" s="7" t="s">
        <v>187</v>
      </c>
      <c r="C828" s="8">
        <v>5500</v>
      </c>
      <c r="D828" s="7" t="s">
        <v>44</v>
      </c>
      <c r="E828" s="7" t="s">
        <v>29</v>
      </c>
    </row>
    <row r="829" spans="1:5" ht="12.75">
      <c r="A829" s="6" t="str">
        <f>HYPERLINK(SUBSTITUTE(T(hl_0),"{0}","330332580898547"),hn_0)</f>
        <v>ОВ</v>
      </c>
      <c r="B829" s="7" t="s">
        <v>187</v>
      </c>
      <c r="C829" s="8">
        <v>5500</v>
      </c>
      <c r="D829" s="7" t="s">
        <v>44</v>
      </c>
      <c r="E829" s="7" t="s">
        <v>29</v>
      </c>
    </row>
    <row r="830" spans="1:5" ht="12.75">
      <c r="A830" s="6" t="str">
        <f>HYPERLINK(SUBSTITUTE(T(hl_0),"{0}","330332707285709"),hn_0)</f>
        <v>ОВ</v>
      </c>
      <c r="B830" s="7" t="s">
        <v>187</v>
      </c>
      <c r="C830" s="8">
        <v>5500</v>
      </c>
      <c r="D830" s="7" t="s">
        <v>44</v>
      </c>
      <c r="E830" s="7" t="s">
        <v>29</v>
      </c>
    </row>
    <row r="831" spans="1:5" ht="12.75">
      <c r="A831" s="6" t="str">
        <f>HYPERLINK(SUBSTITUTE(T(hl_0),"{0}","330332556045329"),hn_0)</f>
        <v>ОВ</v>
      </c>
      <c r="B831" s="7" t="s">
        <v>187</v>
      </c>
      <c r="C831" s="8">
        <v>5500</v>
      </c>
      <c r="D831" s="7" t="s">
        <v>44</v>
      </c>
      <c r="E831" s="7" t="s">
        <v>29</v>
      </c>
    </row>
    <row r="832" spans="1:5" ht="12.75">
      <c r="A832" s="6" t="str">
        <f>HYPERLINK(SUBSTITUTE(T(hl_0),"{0}","331332702741008"),hn_0)</f>
        <v>ОВ</v>
      </c>
      <c r="B832" s="7" t="s">
        <v>187</v>
      </c>
      <c r="C832" s="8">
        <v>5500</v>
      </c>
      <c r="D832" s="7" t="s">
        <v>194</v>
      </c>
      <c r="E832" s="7" t="s">
        <v>195</v>
      </c>
    </row>
    <row r="833" spans="1:5" ht="12.75">
      <c r="A833" s="6" t="str">
        <f>HYPERLINK(SUBSTITUTE(T(hl_0),"{0}","331332732624402"),hn_0)</f>
        <v>ОВ</v>
      </c>
      <c r="B833" s="7" t="s">
        <v>187</v>
      </c>
      <c r="C833" s="8">
        <v>5500</v>
      </c>
      <c r="D833" s="7" t="s">
        <v>37</v>
      </c>
      <c r="E833" s="7" t="s">
        <v>195</v>
      </c>
    </row>
    <row r="834" spans="1:5" ht="12.75">
      <c r="A834" s="6" t="str">
        <f>HYPERLINK(SUBSTITUTE(T(hl_0),"{0}","331332760970282"),hn_0)</f>
        <v>ОВ</v>
      </c>
      <c r="B834" s="7" t="s">
        <v>187</v>
      </c>
      <c r="C834" s="8">
        <v>5500</v>
      </c>
      <c r="D834" s="7" t="s">
        <v>37</v>
      </c>
      <c r="E834" s="7" t="s">
        <v>195</v>
      </c>
    </row>
    <row r="835" spans="1:5" ht="12.75">
      <c r="A835" s="6" t="str">
        <f>HYPERLINK(SUBSTITUTE(T(hl_0),"{0}","331332529015042"),hn_0)</f>
        <v>ОВ</v>
      </c>
      <c r="B835" s="7" t="s">
        <v>187</v>
      </c>
      <c r="C835" s="8">
        <v>5500</v>
      </c>
      <c r="D835" s="7" t="s">
        <v>196</v>
      </c>
      <c r="E835" s="7" t="s">
        <v>195</v>
      </c>
    </row>
    <row r="836" spans="1:5" ht="12.75">
      <c r="A836" s="6" t="str">
        <f>HYPERLINK(SUBSTITUTE(T(hl_0),"{0}","333332705552036"),hn_0)</f>
        <v>ОВ</v>
      </c>
      <c r="B836" s="7" t="s">
        <v>187</v>
      </c>
      <c r="C836" s="8">
        <v>5000</v>
      </c>
      <c r="D836" s="7" t="s">
        <v>197</v>
      </c>
      <c r="E836" s="7" t="s">
        <v>198</v>
      </c>
    </row>
    <row r="837" spans="1:5" ht="12.75">
      <c r="A837" s="6" t="str">
        <f>HYPERLINK(SUBSTITUTE(T(hl_0),"{0}","900332729770185"),hn_0)</f>
        <v>ОВ</v>
      </c>
      <c r="B837" s="7" t="s">
        <v>187</v>
      </c>
      <c r="C837" s="8">
        <v>6500</v>
      </c>
      <c r="D837" s="7" t="s">
        <v>11</v>
      </c>
      <c r="E837" s="7" t="s">
        <v>20</v>
      </c>
    </row>
    <row r="838" spans="1:5" ht="12.75">
      <c r="A838" s="6" t="str">
        <f>HYPERLINK(SUBSTITUTE(T(hl_0),"{0}","900332729656226"),hn_0)</f>
        <v>ОВ</v>
      </c>
      <c r="B838" s="7" t="s">
        <v>187</v>
      </c>
      <c r="C838" s="8">
        <v>6500</v>
      </c>
      <c r="D838" s="7" t="s">
        <v>11</v>
      </c>
      <c r="E838" s="7" t="s">
        <v>20</v>
      </c>
    </row>
    <row r="839" spans="1:5" ht="12.75">
      <c r="A839" s="6" t="str">
        <f>HYPERLINK(SUBSTITUTE(T(hl_0),"{0}","900332676921535"),hn_0)</f>
        <v>ОВ</v>
      </c>
      <c r="B839" s="7" t="s">
        <v>187</v>
      </c>
      <c r="C839" s="8">
        <v>8000</v>
      </c>
      <c r="D839" s="7" t="s">
        <v>11</v>
      </c>
      <c r="E839" s="7" t="s">
        <v>20</v>
      </c>
    </row>
    <row r="840" spans="1:5" ht="12.75">
      <c r="A840" s="6" t="str">
        <f>HYPERLINK(SUBSTITUTE(T(hl_0),"{0}","900331561894511"),hn_0)</f>
        <v>ОВ</v>
      </c>
      <c r="B840" s="7" t="s">
        <v>187</v>
      </c>
      <c r="C840" s="8">
        <v>5500</v>
      </c>
      <c r="D840" s="7" t="s">
        <v>11</v>
      </c>
      <c r="E840" s="7" t="s">
        <v>20</v>
      </c>
    </row>
    <row r="841" spans="1:5" ht="12.75">
      <c r="A841" s="6" t="str">
        <f>HYPERLINK(SUBSTITUTE(T(hl_0),"{0}","900332555367748"),hn_0)</f>
        <v>ОВ</v>
      </c>
      <c r="B841" s="7" t="s">
        <v>187</v>
      </c>
      <c r="C841" s="8">
        <v>5300</v>
      </c>
      <c r="D841" s="7" t="s">
        <v>11</v>
      </c>
      <c r="E841" s="7" t="s">
        <v>20</v>
      </c>
    </row>
    <row r="842" spans="1:5" ht="12.75">
      <c r="A842" s="6" t="str">
        <f>HYPERLINK(SUBSTITUTE(T(hl_0),"{0}","900332530738669"),hn_0)</f>
        <v>ОВ</v>
      </c>
      <c r="B842" s="7" t="s">
        <v>187</v>
      </c>
      <c r="C842" s="8">
        <v>5000</v>
      </c>
      <c r="D842" s="7" t="s">
        <v>11</v>
      </c>
      <c r="E842" s="7" t="s">
        <v>20</v>
      </c>
    </row>
    <row r="843" spans="1:5" ht="12.75">
      <c r="A843" s="6" t="str">
        <f>HYPERLINK(SUBSTITUTE(T(hl_0),"{0}","900332417181585"),hn_0)</f>
        <v>ОВ</v>
      </c>
      <c r="B843" s="7" t="s">
        <v>187</v>
      </c>
      <c r="C843" s="8">
        <v>5000</v>
      </c>
      <c r="D843" s="7" t="s">
        <v>199</v>
      </c>
      <c r="E843" s="7" t="s">
        <v>20</v>
      </c>
    </row>
    <row r="844" spans="1:5" ht="12.75">
      <c r="A844" s="6" t="str">
        <f>HYPERLINK(SUBSTITUTE(T(hl_0),"{0}","900332417170624"),hn_0)</f>
        <v>ОВ</v>
      </c>
      <c r="B844" s="7" t="s">
        <v>187</v>
      </c>
      <c r="C844" s="8">
        <v>5000</v>
      </c>
      <c r="D844" s="7" t="s">
        <v>199</v>
      </c>
      <c r="E844" s="7" t="s">
        <v>20</v>
      </c>
    </row>
    <row r="845" spans="1:5" ht="12.75">
      <c r="A845" s="6" t="str">
        <f>HYPERLINK(SUBSTITUTE(T(hl_0),"{0}","900328159100308"),hn_0)</f>
        <v>ОВ</v>
      </c>
      <c r="B845" s="7" t="s">
        <v>187</v>
      </c>
      <c r="C845" s="8">
        <v>6143</v>
      </c>
      <c r="D845" s="7" t="s">
        <v>11</v>
      </c>
      <c r="E845" s="7" t="s">
        <v>20</v>
      </c>
    </row>
    <row r="846" spans="1:5" ht="12.75">
      <c r="A846" s="6" t="str">
        <f>HYPERLINK(SUBSTITUTE(T(hl_0),"{0}","900327837520463"),hn_0)</f>
        <v>ОВ</v>
      </c>
      <c r="B846" s="7" t="s">
        <v>187</v>
      </c>
      <c r="C846" s="8">
        <v>6200</v>
      </c>
      <c r="D846" s="7" t="s">
        <v>11</v>
      </c>
      <c r="E846" s="7" t="s">
        <v>20</v>
      </c>
    </row>
    <row r="847" spans="1:5" ht="12.75">
      <c r="A847" s="6" t="str">
        <f>HYPERLINK(SUBSTITUTE(T(hl_0),"{0}","900328300172115"),hn_0)</f>
        <v>ОВ</v>
      </c>
      <c r="B847" s="7" t="s">
        <v>187</v>
      </c>
      <c r="C847" s="8">
        <v>5000</v>
      </c>
      <c r="D847" s="7" t="s">
        <v>11</v>
      </c>
      <c r="E847" s="7" t="s">
        <v>20</v>
      </c>
    </row>
    <row r="848" spans="1:5" ht="12.75">
      <c r="A848" s="6" t="str">
        <f>HYPERLINK(SUBSTITUTE(T(hl_0),"{0}","900331561359302"),hn_0)</f>
        <v>ОВ</v>
      </c>
      <c r="B848" s="7" t="s">
        <v>187</v>
      </c>
      <c r="C848" s="8">
        <v>7000</v>
      </c>
      <c r="D848" s="7" t="s">
        <v>11</v>
      </c>
      <c r="E848" s="7" t="s">
        <v>20</v>
      </c>
    </row>
    <row r="849" spans="1:5" ht="12.75">
      <c r="A849" s="6" t="str">
        <f>HYPERLINK(SUBSTITUTE(T(hl_0),"{0}","900331561336736"),hn_0)</f>
        <v>ОВ</v>
      </c>
      <c r="B849" s="7" t="s">
        <v>187</v>
      </c>
      <c r="C849" s="8">
        <v>7000</v>
      </c>
      <c r="D849" s="7" t="s">
        <v>11</v>
      </c>
      <c r="E849" s="7" t="s">
        <v>20</v>
      </c>
    </row>
    <row r="850" spans="1:5" ht="12.75">
      <c r="A850" s="6" t="str">
        <f>HYPERLINK(SUBSTITUTE(T(hl_0),"{0}","327331702739596"),hn_0)</f>
        <v>ОВ</v>
      </c>
      <c r="B850" s="7" t="s">
        <v>200</v>
      </c>
      <c r="C850" s="8">
        <v>5000</v>
      </c>
      <c r="D850" s="7" t="s">
        <v>202</v>
      </c>
      <c r="E850" s="7" t="s">
        <v>12</v>
      </c>
    </row>
    <row r="851" spans="1:5" ht="12.75">
      <c r="A851" s="6" t="str">
        <f>HYPERLINK(SUBSTITUTE(T(hl_0),"{0}","327331702736522"),hn_0)</f>
        <v>ОВ</v>
      </c>
      <c r="B851" s="7" t="s">
        <v>200</v>
      </c>
      <c r="C851" s="8">
        <v>5000</v>
      </c>
      <c r="D851" s="7" t="s">
        <v>203</v>
      </c>
      <c r="E851" s="7" t="s">
        <v>12</v>
      </c>
    </row>
    <row r="852" spans="1:5" ht="12.75">
      <c r="A852" s="6" t="str">
        <f>HYPERLINK(SUBSTITUTE(T(hl_0),"{0}","330332584616069"),hn_0)</f>
        <v>ОВ</v>
      </c>
      <c r="B852" s="7" t="s">
        <v>204</v>
      </c>
      <c r="C852" s="8">
        <v>6000</v>
      </c>
      <c r="D852" s="7" t="s">
        <v>44</v>
      </c>
      <c r="E852" s="7" t="s">
        <v>29</v>
      </c>
    </row>
    <row r="853" spans="1:5" ht="12.75">
      <c r="A853" s="6" t="str">
        <f>HYPERLINK(SUBSTITUTE(T(hl_0),"{0}","330332585468308"),hn_0)</f>
        <v>ОВ</v>
      </c>
      <c r="B853" s="7" t="s">
        <v>204</v>
      </c>
      <c r="C853" s="8">
        <v>6000</v>
      </c>
      <c r="D853" s="7" t="s">
        <v>44</v>
      </c>
      <c r="E853" s="7" t="s">
        <v>29</v>
      </c>
    </row>
    <row r="854" spans="1:5" ht="12.75">
      <c r="A854" s="6" t="str">
        <f>HYPERLINK(SUBSTITUTE(T(hl_0),"{0}","330332583688362"),hn_0)</f>
        <v>ОВ</v>
      </c>
      <c r="B854" s="7" t="s">
        <v>204</v>
      </c>
      <c r="C854" s="8">
        <v>6000</v>
      </c>
      <c r="D854" s="7" t="s">
        <v>44</v>
      </c>
      <c r="E854" s="7" t="s">
        <v>29</v>
      </c>
    </row>
    <row r="855" spans="1:5" ht="12.75">
      <c r="A855" s="6" t="str">
        <f>HYPERLINK(SUBSTITUTE(T(hl_0),"{0}","330332706437197"),hn_0)</f>
        <v>ОВ</v>
      </c>
      <c r="B855" s="7" t="s">
        <v>204</v>
      </c>
      <c r="C855" s="8">
        <v>6000</v>
      </c>
      <c r="D855" s="7" t="s">
        <v>44</v>
      </c>
      <c r="E855" s="7" t="s">
        <v>29</v>
      </c>
    </row>
    <row r="856" spans="1:5" ht="12.75">
      <c r="A856" s="6" t="str">
        <f>HYPERLINK(SUBSTITUTE(T(hl_0),"{0}","330332707259150"),hn_0)</f>
        <v>ОВ</v>
      </c>
      <c r="B856" s="7" t="s">
        <v>204</v>
      </c>
      <c r="C856" s="8">
        <v>6000</v>
      </c>
      <c r="D856" s="7" t="s">
        <v>44</v>
      </c>
      <c r="E856" s="7" t="s">
        <v>29</v>
      </c>
    </row>
    <row r="857" spans="1:5" ht="12.75">
      <c r="A857" s="6" t="str">
        <f>HYPERLINK(SUBSTITUTE(T(hl_0),"{0}","330332580923428"),hn_0)</f>
        <v>ОВ</v>
      </c>
      <c r="B857" s="7" t="s">
        <v>204</v>
      </c>
      <c r="C857" s="8">
        <v>6000</v>
      </c>
      <c r="D857" s="7" t="s">
        <v>44</v>
      </c>
      <c r="E857" s="7" t="s">
        <v>29</v>
      </c>
    </row>
    <row r="858" spans="1:5" ht="12.75">
      <c r="A858" s="6" t="str">
        <f>HYPERLINK(SUBSTITUTE(T(hl_0),"{0}","330332556070261"),hn_0)</f>
        <v>ОВ</v>
      </c>
      <c r="B858" s="7" t="s">
        <v>204</v>
      </c>
      <c r="C858" s="8">
        <v>6000</v>
      </c>
      <c r="D858" s="7" t="s">
        <v>44</v>
      </c>
      <c r="E858" s="7" t="s">
        <v>29</v>
      </c>
    </row>
    <row r="859" spans="1:5" ht="12.75">
      <c r="A859" s="6" t="str">
        <f>HYPERLINK(SUBSTITUTE(T(hl_0),"{0}","900332394649024"),hn_0)</f>
        <v>ОВ</v>
      </c>
      <c r="B859" s="7" t="s">
        <v>204</v>
      </c>
      <c r="C859" s="8">
        <v>7000</v>
      </c>
      <c r="D859" s="7" t="s">
        <v>11</v>
      </c>
      <c r="E859" s="7" t="s">
        <v>20</v>
      </c>
    </row>
    <row r="860" spans="1:5" ht="12.75">
      <c r="A860" s="6" t="str">
        <f>HYPERLINK(SUBSTITUTE(T(hl_0),"{0}","319332077597414"),hn_0)</f>
        <v>ОВ</v>
      </c>
      <c r="B860" s="7" t="s">
        <v>205</v>
      </c>
      <c r="C860" s="8">
        <v>5500</v>
      </c>
      <c r="D860" s="7" t="s">
        <v>14</v>
      </c>
      <c r="E860" s="7" t="s">
        <v>15</v>
      </c>
    </row>
    <row r="861" spans="1:5" ht="25.5">
      <c r="A861" s="6" t="str">
        <f>HYPERLINK(SUBSTITUTE(T(hl_0),"{0}","320332651294884"),hn_0)</f>
        <v>ОВ</v>
      </c>
      <c r="B861" s="7" t="s">
        <v>205</v>
      </c>
      <c r="C861" s="8">
        <v>5000</v>
      </c>
      <c r="D861" s="7" t="s">
        <v>16</v>
      </c>
      <c r="E861" s="7" t="s">
        <v>17</v>
      </c>
    </row>
    <row r="862" spans="1:5" ht="12.75">
      <c r="A862" s="6" t="str">
        <f>HYPERLINK(SUBSTITUTE(T(hl_0),"{0}","321332678623713"),hn_0)</f>
        <v>ОВ</v>
      </c>
      <c r="B862" s="7" t="s">
        <v>205</v>
      </c>
      <c r="C862" s="8">
        <v>7000</v>
      </c>
      <c r="D862" s="7" t="s">
        <v>18</v>
      </c>
      <c r="E862" s="7" t="s">
        <v>19</v>
      </c>
    </row>
    <row r="863" spans="1:5" ht="12.75">
      <c r="A863" s="6" t="str">
        <f>HYPERLINK(SUBSTITUTE(T(hl_0),"{0}","321332505152538"),hn_0)</f>
        <v>ОВ</v>
      </c>
      <c r="B863" s="7" t="s">
        <v>205</v>
      </c>
      <c r="C863" s="8">
        <v>5000</v>
      </c>
      <c r="D863" s="7" t="s">
        <v>18</v>
      </c>
      <c r="E863" s="7" t="s">
        <v>19</v>
      </c>
    </row>
    <row r="864" spans="1:5" ht="12.75">
      <c r="A864" s="6" t="str">
        <f>HYPERLINK(SUBSTITUTE(T(hl_0),"{0}","321332505156806"),hn_0)</f>
        <v>ОВ</v>
      </c>
      <c r="B864" s="7" t="s">
        <v>205</v>
      </c>
      <c r="C864" s="8">
        <v>5000</v>
      </c>
      <c r="D864" s="7" t="s">
        <v>18</v>
      </c>
      <c r="E864" s="7" t="s">
        <v>19</v>
      </c>
    </row>
    <row r="865" spans="1:5" ht="12.75">
      <c r="A865" s="6" t="str">
        <f>HYPERLINK(SUBSTITUTE(T(hl_0),"{0}","326332079602260"),hn_0)</f>
        <v>ОВ</v>
      </c>
      <c r="B865" s="7" t="s">
        <v>205</v>
      </c>
      <c r="C865" s="8">
        <v>5500</v>
      </c>
      <c r="D865" s="7" t="s">
        <v>206</v>
      </c>
      <c r="E865" s="7" t="s">
        <v>40</v>
      </c>
    </row>
    <row r="866" spans="1:5" ht="12.75">
      <c r="A866" s="6" t="str">
        <f>HYPERLINK(SUBSTITUTE(T(hl_0),"{0}","326331702731470"),hn_0)</f>
        <v>ОВ</v>
      </c>
      <c r="B866" s="7" t="s">
        <v>205</v>
      </c>
      <c r="C866" s="8">
        <v>6000</v>
      </c>
      <c r="D866" s="7" t="s">
        <v>206</v>
      </c>
      <c r="E866" s="7" t="s">
        <v>40</v>
      </c>
    </row>
    <row r="867" spans="1:5" ht="12.75">
      <c r="A867" s="6" t="str">
        <f>HYPERLINK(SUBSTITUTE(T(hl_0),"{0}","329331649189927"),hn_0)</f>
        <v>ОВ</v>
      </c>
      <c r="B867" s="7" t="s">
        <v>205</v>
      </c>
      <c r="C867" s="8">
        <v>6000</v>
      </c>
      <c r="D867" s="7" t="s">
        <v>42</v>
      </c>
      <c r="E867" s="7" t="s">
        <v>43</v>
      </c>
    </row>
    <row r="868" spans="1:5" ht="12.75">
      <c r="A868" s="6" t="str">
        <f>HYPERLINK(SUBSTITUTE(T(hl_0),"{0}","331332528944313"),hn_0)</f>
        <v>ОВ</v>
      </c>
      <c r="B868" s="7" t="s">
        <v>205</v>
      </c>
      <c r="C868" s="8">
        <v>5500</v>
      </c>
      <c r="D868" s="7" t="s">
        <v>196</v>
      </c>
      <c r="E868" s="7" t="s">
        <v>195</v>
      </c>
    </row>
    <row r="869" spans="1:5" ht="12.75">
      <c r="A869" s="6" t="str">
        <f>HYPERLINK(SUBSTITUTE(T(hl_0),"{0}","332332649904805"),hn_0)</f>
        <v>ОВ</v>
      </c>
      <c r="B869" s="7" t="s">
        <v>205</v>
      </c>
      <c r="C869" s="8">
        <v>5000</v>
      </c>
      <c r="D869" s="7" t="s">
        <v>207</v>
      </c>
      <c r="E869" s="7" t="s">
        <v>31</v>
      </c>
    </row>
    <row r="870" spans="1:5" ht="12.75">
      <c r="A870" s="6" t="str">
        <f>HYPERLINK(SUBSTITUTE(T(hl_0),"{0}","332332147793758"),hn_0)</f>
        <v>ОВ</v>
      </c>
      <c r="B870" s="7" t="s">
        <v>205</v>
      </c>
      <c r="C870" s="8">
        <v>5000</v>
      </c>
      <c r="D870" s="7" t="s">
        <v>30</v>
      </c>
      <c r="E870" s="7" t="s">
        <v>31</v>
      </c>
    </row>
    <row r="871" spans="1:5" ht="12.75">
      <c r="A871" s="6" t="str">
        <f>HYPERLINK(SUBSTITUTE(T(hl_0),"{0}","334332706834156"),hn_0)</f>
        <v>ОВ</v>
      </c>
      <c r="B871" s="7" t="s">
        <v>205</v>
      </c>
      <c r="C871" s="8">
        <v>5500</v>
      </c>
      <c r="D871" s="7" t="s">
        <v>208</v>
      </c>
      <c r="E871" s="7" t="s">
        <v>209</v>
      </c>
    </row>
    <row r="872" spans="1:5" ht="12.75">
      <c r="A872" s="6" t="str">
        <f>HYPERLINK(SUBSTITUTE(T(hl_0),"{0}","900332580400174"),hn_0)</f>
        <v>ОВ</v>
      </c>
      <c r="B872" s="7" t="s">
        <v>205</v>
      </c>
      <c r="C872" s="8">
        <v>7000</v>
      </c>
      <c r="D872" s="7" t="s">
        <v>11</v>
      </c>
      <c r="E872" s="7" t="s">
        <v>20</v>
      </c>
    </row>
    <row r="873" spans="1:5" ht="12.75">
      <c r="A873" s="6" t="str">
        <f>HYPERLINK(SUBSTITUTE(T(hl_0),"{0}","900332580400850"),hn_0)</f>
        <v>ОВ</v>
      </c>
      <c r="B873" s="7" t="s">
        <v>205</v>
      </c>
      <c r="C873" s="8">
        <v>7000</v>
      </c>
      <c r="D873" s="7" t="s">
        <v>11</v>
      </c>
      <c r="E873" s="7" t="s">
        <v>20</v>
      </c>
    </row>
    <row r="874" spans="1:5" ht="12.75">
      <c r="A874" s="6" t="str">
        <f>HYPERLINK(SUBSTITUTE(T(hl_0),"{0}","900332734400623"),hn_0)</f>
        <v>ОВ</v>
      </c>
      <c r="B874" s="7" t="s">
        <v>205</v>
      </c>
      <c r="C874" s="8">
        <v>6000</v>
      </c>
      <c r="D874" s="7" t="s">
        <v>53</v>
      </c>
      <c r="E874" s="7" t="s">
        <v>20</v>
      </c>
    </row>
    <row r="875" spans="1:5" ht="12.75">
      <c r="A875" s="6" t="str">
        <f>HYPERLINK(SUBSTITUTE(T(hl_0),"{0}","900332731335012"),hn_0)</f>
        <v>ОВ</v>
      </c>
      <c r="B875" s="7" t="s">
        <v>205</v>
      </c>
      <c r="C875" s="8">
        <v>5500</v>
      </c>
      <c r="D875" s="7" t="s">
        <v>11</v>
      </c>
      <c r="E875" s="7" t="s">
        <v>20</v>
      </c>
    </row>
    <row r="876" spans="1:5" ht="12.75">
      <c r="A876" s="6" t="str">
        <f>HYPERLINK(SUBSTITUTE(T(hl_0),"{0}","900332731107368"),hn_0)</f>
        <v>ОВ</v>
      </c>
      <c r="B876" s="7" t="s">
        <v>205</v>
      </c>
      <c r="C876" s="8">
        <v>5500</v>
      </c>
      <c r="D876" s="7" t="s">
        <v>11</v>
      </c>
      <c r="E876" s="7" t="s">
        <v>20</v>
      </c>
    </row>
    <row r="877" spans="1:5" ht="12.75">
      <c r="A877" s="6" t="str">
        <f>HYPERLINK(SUBSTITUTE(T(hl_0),"{0}","900331675171322"),hn_0)</f>
        <v>ОВ</v>
      </c>
      <c r="B877" s="7" t="s">
        <v>205</v>
      </c>
      <c r="C877" s="8">
        <v>6000</v>
      </c>
      <c r="D877" s="7" t="s">
        <v>202</v>
      </c>
      <c r="E877" s="7" t="s">
        <v>20</v>
      </c>
    </row>
    <row r="878" spans="1:5" ht="12.75">
      <c r="A878" s="6" t="str">
        <f>HYPERLINK(SUBSTITUTE(T(hl_0),"{0}","900331675167782"),hn_0)</f>
        <v>ОВ</v>
      </c>
      <c r="B878" s="7" t="s">
        <v>205</v>
      </c>
      <c r="C878" s="8">
        <v>6000</v>
      </c>
      <c r="D878" s="7" t="s">
        <v>41</v>
      </c>
      <c r="E878" s="7" t="s">
        <v>20</v>
      </c>
    </row>
    <row r="879" spans="1:5" ht="12.75">
      <c r="A879" s="6" t="str">
        <f>HYPERLINK(SUBSTITUTE(T(hl_0),"{0}","900331794175327"),hn_0)</f>
        <v>ОВ</v>
      </c>
      <c r="B879" s="7" t="s">
        <v>205</v>
      </c>
      <c r="C879" s="8">
        <v>5000</v>
      </c>
      <c r="D879" s="7" t="s">
        <v>11</v>
      </c>
      <c r="E879" s="7" t="s">
        <v>20</v>
      </c>
    </row>
    <row r="880" spans="1:5" ht="12.75">
      <c r="A880" s="6" t="str">
        <f>HYPERLINK(SUBSTITUTE(T(hl_0),"{0}","900331794158661"),hn_0)</f>
        <v>ОВ</v>
      </c>
      <c r="B880" s="7" t="s">
        <v>205</v>
      </c>
      <c r="C880" s="8">
        <v>5000</v>
      </c>
      <c r="D880" s="7" t="s">
        <v>11</v>
      </c>
      <c r="E880" s="7" t="s">
        <v>20</v>
      </c>
    </row>
    <row r="881" spans="1:5" ht="12.75">
      <c r="A881" s="6" t="str">
        <f>HYPERLINK(SUBSTITUTE(T(hl_0),"{0}","900332527895518"),hn_0)</f>
        <v>ОВ</v>
      </c>
      <c r="B881" s="7" t="s">
        <v>205</v>
      </c>
      <c r="C881" s="8">
        <v>5000</v>
      </c>
      <c r="D881" s="7" t="s">
        <v>11</v>
      </c>
      <c r="E881" s="7" t="s">
        <v>20</v>
      </c>
    </row>
    <row r="882" spans="1:5" ht="12.75">
      <c r="A882" s="6" t="str">
        <f>HYPERLINK(SUBSTITUTE(T(hl_0),"{0}","324332392374754"),hn_0)</f>
        <v>ОВ</v>
      </c>
      <c r="B882" s="7" t="s">
        <v>210</v>
      </c>
      <c r="C882" s="8">
        <v>5000</v>
      </c>
      <c r="D882" s="7" t="s">
        <v>211</v>
      </c>
      <c r="E882" s="7" t="s">
        <v>190</v>
      </c>
    </row>
    <row r="883" spans="1:5" ht="12.75">
      <c r="A883" s="6" t="str">
        <f>HYPERLINK(SUBSTITUTE(T(hl_0),"{0}","324332147938032"),hn_0)</f>
        <v>ОВ</v>
      </c>
      <c r="B883" s="7" t="s">
        <v>210</v>
      </c>
      <c r="C883" s="8">
        <v>5000</v>
      </c>
      <c r="D883" s="7" t="s">
        <v>189</v>
      </c>
      <c r="E883" s="7" t="s">
        <v>190</v>
      </c>
    </row>
    <row r="884" spans="1:5" ht="12.75">
      <c r="A884" s="6" t="str">
        <f>HYPERLINK(SUBSTITUTE(T(hl_0),"{0}","324332147967998"),hn_0)</f>
        <v>ОВ</v>
      </c>
      <c r="B884" s="7" t="s">
        <v>210</v>
      </c>
      <c r="C884" s="8">
        <v>5000</v>
      </c>
      <c r="D884" s="7" t="s">
        <v>189</v>
      </c>
      <c r="E884" s="7" t="s">
        <v>190</v>
      </c>
    </row>
    <row r="885" spans="1:5" ht="12.75">
      <c r="A885" s="6" t="str">
        <f>HYPERLINK(SUBSTITUTE(T(hl_0),"{0}","319332677025674"),hn_0)</f>
        <v>ОВ</v>
      </c>
      <c r="B885" s="7" t="s">
        <v>212</v>
      </c>
      <c r="C885" s="8">
        <v>5300</v>
      </c>
      <c r="D885" s="7" t="s">
        <v>14</v>
      </c>
      <c r="E885" s="7" t="s">
        <v>15</v>
      </c>
    </row>
    <row r="886" spans="1:5" ht="12.75">
      <c r="A886" s="6" t="str">
        <f>HYPERLINK(SUBSTITUTE(T(hl_0),"{0}","319332677025674"),hn_0)</f>
        <v>ОВ</v>
      </c>
      <c r="B886" s="7" t="s">
        <v>212</v>
      </c>
      <c r="C886" s="8">
        <v>5300</v>
      </c>
      <c r="D886" s="7" t="s">
        <v>14</v>
      </c>
      <c r="E886" s="7" t="s">
        <v>15</v>
      </c>
    </row>
    <row r="887" spans="1:5" ht="12.75">
      <c r="A887" s="6" t="str">
        <f>HYPERLINK(SUBSTITUTE(T(hl_0),"{0}","319332762080643"),hn_0)</f>
        <v>ОВ</v>
      </c>
      <c r="B887" s="7" t="s">
        <v>212</v>
      </c>
      <c r="C887" s="8">
        <v>6000</v>
      </c>
      <c r="D887" s="7" t="s">
        <v>14</v>
      </c>
      <c r="E887" s="7" t="s">
        <v>15</v>
      </c>
    </row>
    <row r="888" spans="1:5" ht="25.5">
      <c r="A888" s="6" t="str">
        <f>HYPERLINK(SUBSTITUTE(T(hl_0),"{0}","320332391524358"),hn_0)</f>
        <v>ОВ</v>
      </c>
      <c r="B888" s="7" t="s">
        <v>212</v>
      </c>
      <c r="C888" s="8">
        <v>5000</v>
      </c>
      <c r="D888" s="7" t="s">
        <v>16</v>
      </c>
      <c r="E888" s="7" t="s">
        <v>17</v>
      </c>
    </row>
    <row r="889" spans="1:5" ht="25.5">
      <c r="A889" s="6" t="str">
        <f>HYPERLINK(SUBSTITUTE(T(hl_0),"{0}","320329968413960"),hn_0)</f>
        <v>ОВ</v>
      </c>
      <c r="B889" s="7" t="s">
        <v>212</v>
      </c>
      <c r="C889" s="8">
        <v>6000</v>
      </c>
      <c r="D889" s="7" t="s">
        <v>16</v>
      </c>
      <c r="E889" s="7" t="s">
        <v>17</v>
      </c>
    </row>
    <row r="890" spans="1:5" ht="25.5">
      <c r="A890" s="6" t="str">
        <f>HYPERLINK(SUBSTITUTE(T(hl_0),"{0}","320329968415698"),hn_0)</f>
        <v>ОВ</v>
      </c>
      <c r="B890" s="7" t="s">
        <v>212</v>
      </c>
      <c r="C890" s="8">
        <v>6000</v>
      </c>
      <c r="D890" s="7" t="s">
        <v>16</v>
      </c>
      <c r="E890" s="7" t="s">
        <v>17</v>
      </c>
    </row>
    <row r="891" spans="1:5" ht="25.5">
      <c r="A891" s="6" t="str">
        <f>HYPERLINK(SUBSTITUTE(T(hl_0),"{0}","320329967685945"),hn_0)</f>
        <v>ОВ</v>
      </c>
      <c r="B891" s="7" t="s">
        <v>212</v>
      </c>
      <c r="C891" s="8">
        <v>6000</v>
      </c>
      <c r="D891" s="7" t="s">
        <v>16</v>
      </c>
      <c r="E891" s="7" t="s">
        <v>17</v>
      </c>
    </row>
    <row r="892" spans="1:5" ht="25.5">
      <c r="A892" s="6" t="str">
        <f>HYPERLINK(SUBSTITUTE(T(hl_0),"{0}","320329967689102"),hn_0)</f>
        <v>ОВ</v>
      </c>
      <c r="B892" s="7" t="s">
        <v>212</v>
      </c>
      <c r="C892" s="8">
        <v>6000</v>
      </c>
      <c r="D892" s="7" t="s">
        <v>16</v>
      </c>
      <c r="E892" s="7" t="s">
        <v>17</v>
      </c>
    </row>
    <row r="893" spans="1:5" ht="12.75">
      <c r="A893" s="6" t="str">
        <f>HYPERLINK(SUBSTITUTE(T(hl_0),"{0}","321332678590318"),hn_0)</f>
        <v>ОВ</v>
      </c>
      <c r="B893" s="7" t="s">
        <v>212</v>
      </c>
      <c r="C893" s="8">
        <v>7000</v>
      </c>
      <c r="D893" s="7" t="s">
        <v>18</v>
      </c>
      <c r="E893" s="7" t="s">
        <v>19</v>
      </c>
    </row>
    <row r="894" spans="1:5" ht="12.75">
      <c r="A894" s="6" t="str">
        <f>HYPERLINK(SUBSTITUTE(T(hl_0),"{0}","321332223402899"),hn_0)</f>
        <v>ОВ</v>
      </c>
      <c r="B894" s="7" t="s">
        <v>212</v>
      </c>
      <c r="C894" s="8">
        <v>5200</v>
      </c>
      <c r="D894" s="7" t="s">
        <v>18</v>
      </c>
      <c r="E894" s="7" t="s">
        <v>19</v>
      </c>
    </row>
    <row r="895" spans="1:5" ht="12.75">
      <c r="A895" s="6" t="str">
        <f>HYPERLINK(SUBSTITUTE(T(hl_0),"{0}","321332393181654"),hn_0)</f>
        <v>ОВ</v>
      </c>
      <c r="B895" s="7" t="s">
        <v>212</v>
      </c>
      <c r="C895" s="8">
        <v>5500</v>
      </c>
      <c r="D895" s="7" t="s">
        <v>18</v>
      </c>
      <c r="E895" s="7" t="s">
        <v>19</v>
      </c>
    </row>
    <row r="896" spans="1:5" ht="12.75">
      <c r="A896" s="6" t="str">
        <f>HYPERLINK(SUBSTITUTE(T(hl_0),"{0}","322332757964468"),hn_0)</f>
        <v>ОВ</v>
      </c>
      <c r="B896" s="7" t="s">
        <v>212</v>
      </c>
      <c r="C896" s="8">
        <v>6000</v>
      </c>
      <c r="D896" s="7" t="s">
        <v>213</v>
      </c>
      <c r="E896" s="7" t="s">
        <v>47</v>
      </c>
    </row>
    <row r="897" spans="1:5" ht="12.75">
      <c r="A897" s="6" t="str">
        <f>HYPERLINK(SUBSTITUTE(T(hl_0),"{0}","322331676019793"),hn_0)</f>
        <v>ОВ</v>
      </c>
      <c r="B897" s="7" t="s">
        <v>212</v>
      </c>
      <c r="C897" s="8">
        <v>5500</v>
      </c>
      <c r="D897" s="7" t="s">
        <v>36</v>
      </c>
      <c r="E897" s="7" t="s">
        <v>47</v>
      </c>
    </row>
    <row r="898" spans="1:5" ht="12.75">
      <c r="A898" s="6" t="str">
        <f>HYPERLINK(SUBSTITUTE(T(hl_0),"{0}","324332418391360"),hn_0)</f>
        <v>ОВ</v>
      </c>
      <c r="B898" s="7" t="s">
        <v>212</v>
      </c>
      <c r="C898" s="8">
        <v>5200</v>
      </c>
      <c r="D898" s="7" t="s">
        <v>214</v>
      </c>
      <c r="E898" s="7" t="s">
        <v>190</v>
      </c>
    </row>
    <row r="899" spans="1:5" ht="12.75">
      <c r="A899" s="6" t="str">
        <f>HYPERLINK(SUBSTITUTE(T(hl_0),"{0}","326332393753326"),hn_0)</f>
        <v>ОВ</v>
      </c>
      <c r="B899" s="7" t="s">
        <v>212</v>
      </c>
      <c r="C899" s="8">
        <v>5500</v>
      </c>
      <c r="D899" s="7" t="s">
        <v>215</v>
      </c>
      <c r="E899" s="7" t="s">
        <v>40</v>
      </c>
    </row>
    <row r="900" spans="1:5" ht="12.75">
      <c r="A900" s="6" t="str">
        <f>HYPERLINK(SUBSTITUTE(T(hl_0),"{0}","327331819141715"),hn_0)</f>
        <v>ОВ</v>
      </c>
      <c r="B900" s="7" t="s">
        <v>212</v>
      </c>
      <c r="C900" s="8">
        <v>5000</v>
      </c>
      <c r="D900" s="7" t="s">
        <v>53</v>
      </c>
      <c r="E900" s="7" t="s">
        <v>12</v>
      </c>
    </row>
    <row r="901" spans="1:5" ht="12.75">
      <c r="A901" s="6" t="str">
        <f>HYPERLINK(SUBSTITUTE(T(hl_0),"{0}","327331819138187"),hn_0)</f>
        <v>ОВ</v>
      </c>
      <c r="B901" s="7" t="s">
        <v>212</v>
      </c>
      <c r="C901" s="8">
        <v>5000</v>
      </c>
      <c r="D901" s="7" t="s">
        <v>53</v>
      </c>
      <c r="E901" s="7" t="s">
        <v>12</v>
      </c>
    </row>
    <row r="902" spans="1:5" ht="12.75">
      <c r="A902" s="6" t="str">
        <f>HYPERLINK(SUBSTITUTE(T(hl_0),"{0}","327331819141724"),hn_0)</f>
        <v>ОВ</v>
      </c>
      <c r="B902" s="7" t="s">
        <v>212</v>
      </c>
      <c r="C902" s="8">
        <v>5000</v>
      </c>
      <c r="D902" s="7" t="s">
        <v>53</v>
      </c>
      <c r="E902" s="7" t="s">
        <v>12</v>
      </c>
    </row>
    <row r="903" spans="1:5" ht="12.75">
      <c r="A903" s="6" t="str">
        <f>HYPERLINK(SUBSTITUTE(T(hl_0),"{0}","328332554851076"),hn_0)</f>
        <v>ОВ</v>
      </c>
      <c r="B903" s="7" t="s">
        <v>212</v>
      </c>
      <c r="C903" s="8">
        <v>5000</v>
      </c>
      <c r="D903" s="7" t="s">
        <v>57</v>
      </c>
      <c r="E903" s="7" t="s">
        <v>58</v>
      </c>
    </row>
    <row r="904" spans="1:5" ht="12.75">
      <c r="A904" s="6" t="str">
        <f>HYPERLINK(SUBSTITUTE(T(hl_0),"{0}","329330019461829"),hn_0)</f>
        <v>ОВ</v>
      </c>
      <c r="B904" s="7" t="s">
        <v>212</v>
      </c>
      <c r="C904" s="8">
        <v>8000</v>
      </c>
      <c r="D904" s="7" t="s">
        <v>216</v>
      </c>
      <c r="E904" s="7" t="s">
        <v>43</v>
      </c>
    </row>
    <row r="905" spans="1:5" ht="12.75">
      <c r="A905" s="6" t="str">
        <f>HYPERLINK(SUBSTITUTE(T(hl_0),"{0}","332332147770729"),hn_0)</f>
        <v>ОВ</v>
      </c>
      <c r="B905" s="7" t="s">
        <v>212</v>
      </c>
      <c r="C905" s="8">
        <v>5000</v>
      </c>
      <c r="D905" s="7" t="s">
        <v>30</v>
      </c>
      <c r="E905" s="7" t="s">
        <v>31</v>
      </c>
    </row>
    <row r="906" spans="1:5" ht="12.75">
      <c r="A906" s="6" t="str">
        <f>HYPERLINK(SUBSTITUTE(T(hl_0),"{0}","900332733617652"),hn_0)</f>
        <v>ОВ</v>
      </c>
      <c r="B906" s="7" t="s">
        <v>212</v>
      </c>
      <c r="C906" s="8">
        <v>7000</v>
      </c>
      <c r="D906" s="7" t="s">
        <v>11</v>
      </c>
      <c r="E906" s="7" t="s">
        <v>20</v>
      </c>
    </row>
    <row r="907" spans="1:5" ht="12.75">
      <c r="A907" s="6" t="str">
        <f>HYPERLINK(SUBSTITUTE(T(hl_0),"{0}","900332733376289"),hn_0)</f>
        <v>ОВ</v>
      </c>
      <c r="B907" s="7" t="s">
        <v>212</v>
      </c>
      <c r="C907" s="8">
        <v>7000</v>
      </c>
      <c r="D907" s="7" t="s">
        <v>11</v>
      </c>
      <c r="E907" s="7" t="s">
        <v>20</v>
      </c>
    </row>
    <row r="908" spans="1:5" ht="12.75">
      <c r="A908" s="6" t="str">
        <f>HYPERLINK(SUBSTITUTE(T(hl_0),"{0}","900332733284688"),hn_0)</f>
        <v>ОВ</v>
      </c>
      <c r="B908" s="7" t="s">
        <v>212</v>
      </c>
      <c r="C908" s="8">
        <v>7000</v>
      </c>
      <c r="D908" s="7" t="s">
        <v>11</v>
      </c>
      <c r="E908" s="7" t="s">
        <v>20</v>
      </c>
    </row>
    <row r="909" spans="1:5" ht="12.75">
      <c r="A909" s="6" t="str">
        <f>HYPERLINK(SUBSTITUTE(T(hl_0),"{0}","900332733325969"),hn_0)</f>
        <v>ОВ</v>
      </c>
      <c r="B909" s="7" t="s">
        <v>212</v>
      </c>
      <c r="C909" s="8">
        <v>7000</v>
      </c>
      <c r="D909" s="7" t="s">
        <v>11</v>
      </c>
      <c r="E909" s="7" t="s">
        <v>20</v>
      </c>
    </row>
    <row r="910" spans="1:5" ht="12.75">
      <c r="A910" s="6" t="str">
        <f>HYPERLINK(SUBSTITUTE(T(hl_0),"{0}","900332733283616"),hn_0)</f>
        <v>ОВ</v>
      </c>
      <c r="B910" s="7" t="s">
        <v>212</v>
      </c>
      <c r="C910" s="8">
        <v>7000</v>
      </c>
      <c r="D910" s="7" t="s">
        <v>11</v>
      </c>
      <c r="E910" s="7" t="s">
        <v>20</v>
      </c>
    </row>
    <row r="911" spans="1:5" ht="12.75">
      <c r="A911" s="6" t="str">
        <f>HYPERLINK(SUBSTITUTE(T(hl_0),"{0}","900332733284443"),hn_0)</f>
        <v>ОВ</v>
      </c>
      <c r="B911" s="7" t="s">
        <v>212</v>
      </c>
      <c r="C911" s="8">
        <v>7000</v>
      </c>
      <c r="D911" s="7" t="s">
        <v>11</v>
      </c>
      <c r="E911" s="7" t="s">
        <v>20</v>
      </c>
    </row>
    <row r="912" spans="1:5" ht="12.75">
      <c r="A912" s="6" t="str">
        <f>HYPERLINK(SUBSTITUTE(T(hl_0),"{0}","900332580361964"),hn_0)</f>
        <v>ОВ</v>
      </c>
      <c r="B912" s="7" t="s">
        <v>212</v>
      </c>
      <c r="C912" s="8">
        <v>6000</v>
      </c>
      <c r="D912" s="7" t="s">
        <v>11</v>
      </c>
      <c r="E912" s="7" t="s">
        <v>20</v>
      </c>
    </row>
    <row r="913" spans="1:5" ht="12.75">
      <c r="A913" s="6" t="str">
        <f>HYPERLINK(SUBSTITUTE(T(hl_0),"{0}","900328324429685"),hn_0)</f>
        <v>ОВ</v>
      </c>
      <c r="B913" s="7" t="s">
        <v>212</v>
      </c>
      <c r="C913" s="8">
        <v>7000</v>
      </c>
      <c r="D913" s="7" t="s">
        <v>11</v>
      </c>
      <c r="E913" s="7" t="s">
        <v>20</v>
      </c>
    </row>
    <row r="914" spans="1:5" ht="12.75">
      <c r="A914" s="6" t="str">
        <f>HYPERLINK(SUBSTITUTE(T(hl_0),"{0}","900328248961099"),hn_0)</f>
        <v>ОВ</v>
      </c>
      <c r="B914" s="7" t="s">
        <v>212</v>
      </c>
      <c r="C914" s="8">
        <v>5500</v>
      </c>
      <c r="D914" s="7" t="s">
        <v>11</v>
      </c>
      <c r="E914" s="7" t="s">
        <v>20</v>
      </c>
    </row>
    <row r="915" spans="1:5" ht="12.75">
      <c r="A915" s="6" t="str">
        <f>HYPERLINK(SUBSTITUTE(T(hl_0),"{0}","900331701587917"),hn_0)</f>
        <v>ОВ</v>
      </c>
      <c r="B915" s="7" t="s">
        <v>212</v>
      </c>
      <c r="C915" s="8">
        <v>7000</v>
      </c>
      <c r="D915" s="7" t="s">
        <v>11</v>
      </c>
      <c r="E915" s="7" t="s">
        <v>20</v>
      </c>
    </row>
    <row r="916" spans="1:5" ht="12.75">
      <c r="A916" s="6" t="str">
        <f>HYPERLINK(SUBSTITUTE(T(hl_0),"{0}","900331676284227"),hn_0)</f>
        <v>ОВ</v>
      </c>
      <c r="B916" s="7" t="s">
        <v>212</v>
      </c>
      <c r="C916" s="8">
        <v>6500</v>
      </c>
      <c r="D916" s="7" t="s">
        <v>11</v>
      </c>
      <c r="E916" s="7" t="s">
        <v>20</v>
      </c>
    </row>
    <row r="917" spans="1:5" ht="12.75">
      <c r="A917" s="6" t="str">
        <f>HYPERLINK(SUBSTITUTE(T(hl_0),"{0}","900332528632680"),hn_0)</f>
        <v>ОВ</v>
      </c>
      <c r="B917" s="7" t="s">
        <v>212</v>
      </c>
      <c r="C917" s="8">
        <v>7000</v>
      </c>
      <c r="D917" s="7" t="s">
        <v>41</v>
      </c>
      <c r="E917" s="7" t="s">
        <v>20</v>
      </c>
    </row>
    <row r="918" spans="1:5" ht="12.75">
      <c r="A918" s="6" t="str">
        <f>HYPERLINK(SUBSTITUTE(T(hl_0),"{0}","900328324035545"),hn_0)</f>
        <v>ОВ</v>
      </c>
      <c r="B918" s="7" t="s">
        <v>212</v>
      </c>
      <c r="C918" s="8">
        <v>7000</v>
      </c>
      <c r="D918" s="7" t="s">
        <v>217</v>
      </c>
      <c r="E918" s="7" t="s">
        <v>20</v>
      </c>
    </row>
    <row r="919" spans="1:5" ht="12.75">
      <c r="A919" s="6" t="str">
        <f>HYPERLINK(SUBSTITUTE(T(hl_0),"{0}","900328323893762"),hn_0)</f>
        <v>ОВ</v>
      </c>
      <c r="B919" s="7" t="s">
        <v>212</v>
      </c>
      <c r="C919" s="8">
        <v>7000</v>
      </c>
      <c r="D919" s="7" t="s">
        <v>11</v>
      </c>
      <c r="E919" s="7" t="s">
        <v>20</v>
      </c>
    </row>
    <row r="920" spans="1:5" ht="12.75">
      <c r="A920" s="6" t="str">
        <f>HYPERLINK(SUBSTITUTE(T(hl_0),"{0}","900327919649839"),hn_0)</f>
        <v>ОВ</v>
      </c>
      <c r="B920" s="7" t="s">
        <v>212</v>
      </c>
      <c r="C920" s="8">
        <v>5500</v>
      </c>
      <c r="D920" s="7" t="s">
        <v>11</v>
      </c>
      <c r="E920" s="7" t="s">
        <v>20</v>
      </c>
    </row>
    <row r="921" spans="1:5" ht="12.75">
      <c r="A921" s="6" t="str">
        <f>HYPERLINK(SUBSTITUTE(T(hl_0),"{0}","326332000174591"),hn_0)</f>
        <v>ОВ</v>
      </c>
      <c r="B921" s="7" t="s">
        <v>218</v>
      </c>
      <c r="C921" s="8">
        <v>6000</v>
      </c>
      <c r="D921" s="7" t="s">
        <v>63</v>
      </c>
      <c r="E921" s="7" t="s">
        <v>40</v>
      </c>
    </row>
    <row r="922" spans="1:5" ht="12.75">
      <c r="A922" s="6" t="str">
        <f>HYPERLINK(SUBSTITUTE(T(hl_0),"{0}","900332703807746"),hn_0)</f>
        <v>ОВ</v>
      </c>
      <c r="B922" s="7" t="s">
        <v>218</v>
      </c>
      <c r="C922" s="8">
        <v>5000</v>
      </c>
      <c r="D922" s="7" t="s">
        <v>11</v>
      </c>
      <c r="E922" s="7" t="s">
        <v>20</v>
      </c>
    </row>
    <row r="923" spans="1:5" ht="12.75">
      <c r="A923" s="6" t="str">
        <f>HYPERLINK(SUBSTITUTE(T(hl_0),"{0}","900332703799027"),hn_0)</f>
        <v>ОВ</v>
      </c>
      <c r="B923" s="7" t="s">
        <v>218</v>
      </c>
      <c r="C923" s="8">
        <v>5000</v>
      </c>
      <c r="D923" s="7" t="s">
        <v>11</v>
      </c>
      <c r="E923" s="7" t="s">
        <v>20</v>
      </c>
    </row>
    <row r="924" spans="1:5" ht="25.5">
      <c r="A924" s="6" t="str">
        <f>HYPERLINK(SUBSTITUTE(T(hl_0),"{0}","319332079314564"),hn_0)</f>
        <v>ОВ</v>
      </c>
      <c r="B924" s="7" t="s">
        <v>219</v>
      </c>
      <c r="C924" s="8">
        <v>5000</v>
      </c>
      <c r="D924" s="7" t="s">
        <v>14</v>
      </c>
      <c r="E924" s="7" t="s">
        <v>15</v>
      </c>
    </row>
    <row r="925" spans="1:5" ht="25.5">
      <c r="A925" s="6" t="str">
        <f>HYPERLINK(SUBSTITUTE(T(hl_0),"{0}","319332419022786"),hn_0)</f>
        <v>ОВ</v>
      </c>
      <c r="B925" s="7" t="s">
        <v>219</v>
      </c>
      <c r="C925" s="8">
        <v>5000</v>
      </c>
      <c r="D925" s="7" t="s">
        <v>14</v>
      </c>
      <c r="E925" s="7" t="s">
        <v>15</v>
      </c>
    </row>
    <row r="926" spans="1:5" ht="25.5">
      <c r="A926" s="6" t="str">
        <f>HYPERLINK(SUBSTITUTE(T(hl_0),"{0}","319332419029664"),hn_0)</f>
        <v>ОВ</v>
      </c>
      <c r="B926" s="7" t="s">
        <v>219</v>
      </c>
      <c r="C926" s="8">
        <v>5000</v>
      </c>
      <c r="D926" s="7" t="s">
        <v>14</v>
      </c>
      <c r="E926" s="7" t="s">
        <v>15</v>
      </c>
    </row>
    <row r="927" spans="1:5" ht="12.75">
      <c r="A927" s="6" t="str">
        <f>HYPERLINK(SUBSTITUTE(T(hl_0),"{0}","900332145785371"),hn_0)</f>
        <v>ОВ</v>
      </c>
      <c r="B927" s="7" t="s">
        <v>220</v>
      </c>
      <c r="C927" s="8">
        <v>5000</v>
      </c>
      <c r="D927" s="7" t="s">
        <v>11</v>
      </c>
      <c r="E927" s="7" t="s">
        <v>20</v>
      </c>
    </row>
    <row r="928" spans="1:5" ht="12.75">
      <c r="A928" s="6" t="str">
        <f>HYPERLINK(SUBSTITUTE(T(hl_0),"{0}","900332554861372"),hn_0)</f>
        <v>ОВ</v>
      </c>
      <c r="B928" s="7" t="s">
        <v>221</v>
      </c>
      <c r="C928" s="8">
        <v>7000</v>
      </c>
      <c r="D928" s="7" t="s">
        <v>11</v>
      </c>
      <c r="E928" s="7" t="s">
        <v>20</v>
      </c>
    </row>
    <row r="929" spans="1:5" ht="12.75">
      <c r="A929" s="6" t="str">
        <f>HYPERLINK(SUBSTITUTE(T(hl_0),"{0}","900331559511687"),hn_0)</f>
        <v>ОВ</v>
      </c>
      <c r="B929" s="7" t="s">
        <v>221</v>
      </c>
      <c r="C929" s="8">
        <v>5800</v>
      </c>
      <c r="D929" s="7" t="s">
        <v>11</v>
      </c>
      <c r="E929" s="7" t="s">
        <v>20</v>
      </c>
    </row>
    <row r="930" spans="1:5" ht="12.75">
      <c r="A930" s="6" t="str">
        <f>HYPERLINK(SUBSTITUTE(T(hl_0),"{0}","319330943783633"),hn_0)</f>
        <v>ОВ</v>
      </c>
      <c r="B930" s="7" t="s">
        <v>222</v>
      </c>
      <c r="C930" s="8">
        <v>5000</v>
      </c>
      <c r="D930" s="7" t="s">
        <v>14</v>
      </c>
      <c r="E930" s="7" t="s">
        <v>15</v>
      </c>
    </row>
    <row r="931" spans="1:5" ht="12.75">
      <c r="A931" s="6" t="str">
        <f>HYPERLINK(SUBSTITUTE(T(hl_0),"{0}","319330943458096"),hn_0)</f>
        <v>ОВ</v>
      </c>
      <c r="B931" s="7" t="s">
        <v>222</v>
      </c>
      <c r="C931" s="8">
        <v>5000</v>
      </c>
      <c r="D931" s="7" t="s">
        <v>14</v>
      </c>
      <c r="E931" s="7" t="s">
        <v>15</v>
      </c>
    </row>
    <row r="932" spans="1:5" ht="25.5">
      <c r="A932" s="6" t="str">
        <f>HYPERLINK(SUBSTITUTE(T(hl_0),"{0}","320332146847330"),hn_0)</f>
        <v>ОВ</v>
      </c>
      <c r="B932" s="7" t="s">
        <v>222</v>
      </c>
      <c r="C932" s="8">
        <v>5000</v>
      </c>
      <c r="D932" s="7" t="s">
        <v>16</v>
      </c>
      <c r="E932" s="7" t="s">
        <v>17</v>
      </c>
    </row>
    <row r="933" spans="1:5" ht="12.75">
      <c r="A933" s="6" t="str">
        <f>HYPERLINK(SUBSTITUTE(T(hl_0),"{0}","323331648982760"),hn_0)</f>
        <v>ОВ</v>
      </c>
      <c r="B933" s="7" t="s">
        <v>222</v>
      </c>
      <c r="C933" s="8">
        <v>5400</v>
      </c>
      <c r="D933" s="7" t="s">
        <v>223</v>
      </c>
      <c r="E933" s="7" t="s">
        <v>224</v>
      </c>
    </row>
    <row r="934" spans="1:5" ht="12.75">
      <c r="A934" s="6" t="str">
        <f>HYPERLINK(SUBSTITUTE(T(hl_0),"{0}","323331844247899"),hn_0)</f>
        <v>ОВ</v>
      </c>
      <c r="B934" s="7" t="s">
        <v>222</v>
      </c>
      <c r="C934" s="8">
        <v>5500</v>
      </c>
      <c r="D934" s="7" t="s">
        <v>225</v>
      </c>
      <c r="E934" s="7" t="s">
        <v>224</v>
      </c>
    </row>
    <row r="935" spans="1:5" ht="12.75">
      <c r="A935" s="6" t="str">
        <f>HYPERLINK(SUBSTITUTE(T(hl_0),"{0}","900331674447510"),hn_0)</f>
        <v>ОВ</v>
      </c>
      <c r="B935" s="7" t="s">
        <v>222</v>
      </c>
      <c r="C935" s="8">
        <v>5000</v>
      </c>
      <c r="D935" s="7" t="s">
        <v>11</v>
      </c>
      <c r="E935" s="7" t="s">
        <v>20</v>
      </c>
    </row>
    <row r="936" spans="1:5" ht="12.75">
      <c r="A936" s="6" t="str">
        <f>HYPERLINK(SUBSTITUTE(T(hl_0),"{0}","900331559504954"),hn_0)</f>
        <v>ОВ</v>
      </c>
      <c r="B936" s="7" t="s">
        <v>222</v>
      </c>
      <c r="C936" s="8">
        <v>5800</v>
      </c>
      <c r="D936" s="7" t="s">
        <v>11</v>
      </c>
      <c r="E936" s="7" t="s">
        <v>20</v>
      </c>
    </row>
    <row r="937" spans="1:5" ht="12.75">
      <c r="A937" s="6" t="str">
        <f>HYPERLINK(SUBSTITUTE(T(hl_0),"{0}","900331674458067"),hn_0)</f>
        <v>ОВ</v>
      </c>
      <c r="B937" s="7" t="s">
        <v>222</v>
      </c>
      <c r="C937" s="8">
        <v>5000</v>
      </c>
      <c r="D937" s="7" t="s">
        <v>11</v>
      </c>
      <c r="E937" s="7" t="s">
        <v>20</v>
      </c>
    </row>
    <row r="938" spans="1:5" ht="12.75">
      <c r="A938" s="6" t="str">
        <f>HYPERLINK(SUBSTITUTE(T(hl_0),"{0}","900331339546413"),hn_0)</f>
        <v>ОВ</v>
      </c>
      <c r="B938" s="7" t="s">
        <v>222</v>
      </c>
      <c r="C938" s="8">
        <v>6280</v>
      </c>
      <c r="D938" s="7" t="s">
        <v>11</v>
      </c>
      <c r="E938" s="7" t="s">
        <v>20</v>
      </c>
    </row>
    <row r="939" spans="1:5" ht="12.75">
      <c r="A939" s="6" t="str">
        <f>HYPERLINK(SUBSTITUTE(T(hl_0),"{0}","900330166899887"),hn_0)</f>
        <v>ОВ</v>
      </c>
      <c r="B939" s="7" t="s">
        <v>222</v>
      </c>
      <c r="C939" s="8">
        <v>7000</v>
      </c>
      <c r="D939" s="7" t="s">
        <v>11</v>
      </c>
      <c r="E939" s="7" t="s">
        <v>20</v>
      </c>
    </row>
    <row r="940" spans="1:5" ht="12.75">
      <c r="A940" s="6" t="str">
        <f>HYPERLINK(SUBSTITUTE(T(hl_0),"{0}","900327834337743"),hn_0)</f>
        <v>ОВ</v>
      </c>
      <c r="B940" s="7" t="s">
        <v>222</v>
      </c>
      <c r="C940" s="8">
        <v>5500</v>
      </c>
      <c r="D940" s="7" t="s">
        <v>11</v>
      </c>
      <c r="E940" s="7" t="s">
        <v>20</v>
      </c>
    </row>
    <row r="941" spans="1:5" ht="12.75">
      <c r="A941" s="6" t="str">
        <f>HYPERLINK(SUBSTITUTE(T(hl_0),"{0}","900332528460931"),hn_0)</f>
        <v>ОВ</v>
      </c>
      <c r="B941" s="7" t="s">
        <v>226</v>
      </c>
      <c r="C941" s="8">
        <v>5500</v>
      </c>
      <c r="D941" s="7" t="s">
        <v>41</v>
      </c>
      <c r="E941" s="7" t="s">
        <v>20</v>
      </c>
    </row>
    <row r="942" spans="1:5" ht="25.5">
      <c r="A942" s="6" t="str">
        <f>HYPERLINK(SUBSTITUTE(T(hl_0),"{0}","320330364406600"),hn_0)</f>
        <v>ОВ</v>
      </c>
      <c r="B942" s="7" t="s">
        <v>227</v>
      </c>
      <c r="C942" s="8">
        <v>5000</v>
      </c>
      <c r="D942" s="7" t="s">
        <v>228</v>
      </c>
      <c r="E942" s="7" t="s">
        <v>17</v>
      </c>
    </row>
    <row r="943" spans="1:5" ht="25.5">
      <c r="A943" s="6" t="str">
        <f>HYPERLINK(SUBSTITUTE(T(hl_0),"{0}","320329965131820"),hn_0)</f>
        <v>ОВ</v>
      </c>
      <c r="B943" s="7" t="s">
        <v>227</v>
      </c>
      <c r="C943" s="8">
        <v>5100</v>
      </c>
      <c r="D943" s="7" t="s">
        <v>229</v>
      </c>
      <c r="E943" s="7" t="s">
        <v>17</v>
      </c>
    </row>
    <row r="944" spans="1:5" ht="12.75">
      <c r="A944" s="6" t="str">
        <f>HYPERLINK(SUBSTITUTE(T(hl_0),"{0}","325332705193993"),hn_0)</f>
        <v>ОВ</v>
      </c>
      <c r="B944" s="7" t="s">
        <v>227</v>
      </c>
      <c r="C944" s="8">
        <v>5000</v>
      </c>
      <c r="D944" s="7" t="s">
        <v>34</v>
      </c>
      <c r="E944" s="7" t="s">
        <v>27</v>
      </c>
    </row>
    <row r="945" spans="1:5" ht="12.75">
      <c r="A945" s="6" t="str">
        <f>HYPERLINK(SUBSTITUTE(T(hl_0),"{0}","900328425424442"),hn_0)</f>
        <v>ОВ</v>
      </c>
      <c r="B945" s="7" t="s">
        <v>230</v>
      </c>
      <c r="C945" s="8">
        <v>7000</v>
      </c>
      <c r="D945" s="7" t="s">
        <v>11</v>
      </c>
      <c r="E945" s="7" t="s">
        <v>20</v>
      </c>
    </row>
    <row r="946" spans="1:5" ht="12.75">
      <c r="A946" s="6" t="str">
        <f>HYPERLINK(SUBSTITUTE(T(hl_0),"{0}","900328425424472"),hn_0)</f>
        <v>ОВ</v>
      </c>
      <c r="B946" s="7" t="s">
        <v>230</v>
      </c>
      <c r="C946" s="8">
        <v>7000</v>
      </c>
      <c r="D946" s="7" t="s">
        <v>11</v>
      </c>
      <c r="E946" s="7" t="s">
        <v>20</v>
      </c>
    </row>
    <row r="947" spans="1:5" ht="12.75">
      <c r="A947" s="6" t="str">
        <f>HYPERLINK(SUBSTITUTE(T(hl_0),"{0}","900328425424509"),hn_0)</f>
        <v>ОВ</v>
      </c>
      <c r="B947" s="7" t="s">
        <v>230</v>
      </c>
      <c r="C947" s="8">
        <v>7000</v>
      </c>
      <c r="D947" s="7" t="s">
        <v>11</v>
      </c>
      <c r="E947" s="7" t="s">
        <v>20</v>
      </c>
    </row>
    <row r="948" spans="1:5" ht="12.75">
      <c r="A948" s="6" t="str">
        <f>HYPERLINK(SUBSTITUTE(T(hl_0),"{0}","900328425424531"),hn_0)</f>
        <v>ОВ</v>
      </c>
      <c r="B948" s="7" t="s">
        <v>230</v>
      </c>
      <c r="C948" s="8">
        <v>7000</v>
      </c>
      <c r="D948" s="7" t="s">
        <v>11</v>
      </c>
      <c r="E948" s="7" t="s">
        <v>20</v>
      </c>
    </row>
    <row r="949" spans="1:5" ht="12.75">
      <c r="A949" s="6" t="str">
        <f>HYPERLINK(SUBSTITUTE(T(hl_0),"{0}","900328425424920"),hn_0)</f>
        <v>ОВ</v>
      </c>
      <c r="B949" s="7" t="s">
        <v>230</v>
      </c>
      <c r="C949" s="8">
        <v>7000</v>
      </c>
      <c r="D949" s="7" t="s">
        <v>11</v>
      </c>
      <c r="E949" s="7" t="s">
        <v>20</v>
      </c>
    </row>
    <row r="950" spans="1:5" ht="12.75">
      <c r="A950" s="6" t="str">
        <f>HYPERLINK(SUBSTITUTE(T(hl_0),"{0}","900328425424379"),hn_0)</f>
        <v>ОВ</v>
      </c>
      <c r="B950" s="7" t="s">
        <v>230</v>
      </c>
      <c r="C950" s="8">
        <v>7000</v>
      </c>
      <c r="D950" s="7" t="s">
        <v>11</v>
      </c>
      <c r="E950" s="7" t="s">
        <v>20</v>
      </c>
    </row>
    <row r="951" spans="1:5" ht="12.75">
      <c r="A951" s="6" t="str">
        <f>HYPERLINK(SUBSTITUTE(T(hl_0),"{0}","900328425424455"),hn_0)</f>
        <v>ОВ</v>
      </c>
      <c r="B951" s="7" t="s">
        <v>230</v>
      </c>
      <c r="C951" s="8">
        <v>7000</v>
      </c>
      <c r="D951" s="7" t="s">
        <v>11</v>
      </c>
      <c r="E951" s="7" t="s">
        <v>20</v>
      </c>
    </row>
    <row r="952" spans="1:5" ht="12.75">
      <c r="A952" s="6" t="str">
        <f>HYPERLINK(SUBSTITUTE(T(hl_0),"{0}","900328425424498"),hn_0)</f>
        <v>ОВ</v>
      </c>
      <c r="B952" s="7" t="s">
        <v>230</v>
      </c>
      <c r="C952" s="8">
        <v>7000</v>
      </c>
      <c r="D952" s="7" t="s">
        <v>11</v>
      </c>
      <c r="E952" s="7" t="s">
        <v>20</v>
      </c>
    </row>
    <row r="953" spans="1:5" ht="12.75">
      <c r="A953" s="6" t="str">
        <f>HYPERLINK(SUBSTITUTE(T(hl_0),"{0}","900328425424553"),hn_0)</f>
        <v>ОВ</v>
      </c>
      <c r="B953" s="7" t="s">
        <v>230</v>
      </c>
      <c r="C953" s="8">
        <v>7000</v>
      </c>
      <c r="D953" s="7" t="s">
        <v>11</v>
      </c>
      <c r="E953" s="7" t="s">
        <v>20</v>
      </c>
    </row>
    <row r="954" spans="1:5" ht="12.75">
      <c r="A954" s="6" t="str">
        <f>HYPERLINK(SUBSTITUTE(T(hl_0),"{0}","900328425424486"),hn_0)</f>
        <v>ОВ</v>
      </c>
      <c r="B954" s="7" t="s">
        <v>230</v>
      </c>
      <c r="C954" s="8">
        <v>7000</v>
      </c>
      <c r="D954" s="7" t="s">
        <v>11</v>
      </c>
      <c r="E954" s="7" t="s">
        <v>20</v>
      </c>
    </row>
    <row r="955" spans="1:5" ht="12.75">
      <c r="A955" s="6" t="str">
        <f>HYPERLINK(SUBSTITUTE(T(hl_0),"{0}","900328425424882"),hn_0)</f>
        <v>ОВ</v>
      </c>
      <c r="B955" s="7" t="s">
        <v>230</v>
      </c>
      <c r="C955" s="8">
        <v>7000</v>
      </c>
      <c r="D955" s="7" t="s">
        <v>11</v>
      </c>
      <c r="E955" s="7" t="s">
        <v>20</v>
      </c>
    </row>
    <row r="956" spans="1:5" ht="12.75">
      <c r="A956" s="6" t="str">
        <f>HYPERLINK(SUBSTITUTE(T(hl_0),"{0}","900328425424893"),hn_0)</f>
        <v>ОВ</v>
      </c>
      <c r="B956" s="7" t="s">
        <v>230</v>
      </c>
      <c r="C956" s="8">
        <v>7000</v>
      </c>
      <c r="D956" s="7" t="s">
        <v>11</v>
      </c>
      <c r="E956" s="7" t="s">
        <v>20</v>
      </c>
    </row>
    <row r="957" spans="1:5" ht="12.75">
      <c r="A957" s="6" t="str">
        <f>HYPERLINK(SUBSTITUTE(T(hl_0),"{0}","900328425424520"),hn_0)</f>
        <v>ОВ</v>
      </c>
      <c r="B957" s="7" t="s">
        <v>230</v>
      </c>
      <c r="C957" s="8">
        <v>7000</v>
      </c>
      <c r="D957" s="7" t="s">
        <v>11</v>
      </c>
      <c r="E957" s="7" t="s">
        <v>20</v>
      </c>
    </row>
    <row r="958" spans="1:5" ht="12.75">
      <c r="A958" s="6" t="str">
        <f>HYPERLINK(SUBSTITUTE(T(hl_0),"{0}","900328425424586"),hn_0)</f>
        <v>ОВ</v>
      </c>
      <c r="B958" s="7" t="s">
        <v>230</v>
      </c>
      <c r="C958" s="8">
        <v>7000</v>
      </c>
      <c r="D958" s="7" t="s">
        <v>11</v>
      </c>
      <c r="E958" s="7" t="s">
        <v>20</v>
      </c>
    </row>
    <row r="959" spans="1:5" ht="12.75">
      <c r="A959" s="6" t="str">
        <f>HYPERLINK(SUBSTITUTE(T(hl_0),"{0}","900328425424597"),hn_0)</f>
        <v>ОВ</v>
      </c>
      <c r="B959" s="7" t="s">
        <v>230</v>
      </c>
      <c r="C959" s="8">
        <v>7000</v>
      </c>
      <c r="D959" s="7" t="s">
        <v>11</v>
      </c>
      <c r="E959" s="7" t="s">
        <v>20</v>
      </c>
    </row>
    <row r="960" spans="1:5" ht="12.75">
      <c r="A960" s="6" t="str">
        <f>HYPERLINK(SUBSTITUTE(T(hl_0),"{0}","900328425424429"),hn_0)</f>
        <v>ОВ</v>
      </c>
      <c r="B960" s="7" t="s">
        <v>230</v>
      </c>
      <c r="C960" s="8">
        <v>7000</v>
      </c>
      <c r="D960" s="7" t="s">
        <v>11</v>
      </c>
      <c r="E960" s="7" t="s">
        <v>20</v>
      </c>
    </row>
    <row r="961" spans="1:5" ht="12.75">
      <c r="A961" s="6" t="str">
        <f>HYPERLINK(SUBSTITUTE(T(hl_0),"{0}","900328425424564"),hn_0)</f>
        <v>ОВ</v>
      </c>
      <c r="B961" s="7" t="s">
        <v>230</v>
      </c>
      <c r="C961" s="8">
        <v>7000</v>
      </c>
      <c r="D961" s="7" t="s">
        <v>11</v>
      </c>
      <c r="E961" s="7" t="s">
        <v>20</v>
      </c>
    </row>
    <row r="962" spans="1:5" ht="12.75">
      <c r="A962" s="6" t="str">
        <f>HYPERLINK(SUBSTITUTE(T(hl_0),"{0}","900328425419787"),hn_0)</f>
        <v>ОВ</v>
      </c>
      <c r="B962" s="7" t="s">
        <v>230</v>
      </c>
      <c r="C962" s="8">
        <v>7000</v>
      </c>
      <c r="D962" s="7" t="s">
        <v>11</v>
      </c>
      <c r="E962" s="7" t="s">
        <v>20</v>
      </c>
    </row>
    <row r="963" spans="1:5" ht="12.75">
      <c r="A963" s="6" t="str">
        <f>HYPERLINK(SUBSTITUTE(T(hl_0),"{0}","900328425424417"),hn_0)</f>
        <v>ОВ</v>
      </c>
      <c r="B963" s="7" t="s">
        <v>230</v>
      </c>
      <c r="C963" s="8">
        <v>7000</v>
      </c>
      <c r="D963" s="7" t="s">
        <v>11</v>
      </c>
      <c r="E963" s="7" t="s">
        <v>20</v>
      </c>
    </row>
    <row r="964" spans="1:5" ht="12.75">
      <c r="A964" s="6" t="str">
        <f>HYPERLINK(SUBSTITUTE(T(hl_0),"{0}","900328425246051"),hn_0)</f>
        <v>ОВ</v>
      </c>
      <c r="B964" s="7" t="s">
        <v>230</v>
      </c>
      <c r="C964" s="8">
        <v>7000</v>
      </c>
      <c r="D964" s="7" t="s">
        <v>11</v>
      </c>
      <c r="E964" s="7" t="s">
        <v>20</v>
      </c>
    </row>
    <row r="965" spans="1:5" ht="12.75">
      <c r="A965" s="6" t="str">
        <f>HYPERLINK(SUBSTITUTE(T(hl_0),"{0}","900331903811165"),hn_0)</f>
        <v>ОВ</v>
      </c>
      <c r="B965" s="7" t="s">
        <v>231</v>
      </c>
      <c r="C965" s="8">
        <v>6000</v>
      </c>
      <c r="D965" s="7" t="s">
        <v>36</v>
      </c>
      <c r="E965" s="7" t="s">
        <v>20</v>
      </c>
    </row>
    <row r="966" spans="1:5" ht="12.75">
      <c r="A966" s="6" t="str">
        <f>HYPERLINK(SUBSTITUTE(T(hl_0),"{0}","900331903811165"),hn_0)</f>
        <v>ОВ</v>
      </c>
      <c r="B966" s="7" t="s">
        <v>231</v>
      </c>
      <c r="C966" s="8">
        <v>6000</v>
      </c>
      <c r="D966" s="7" t="s">
        <v>36</v>
      </c>
      <c r="E966" s="7" t="s">
        <v>20</v>
      </c>
    </row>
    <row r="967" spans="1:5" ht="12.75">
      <c r="A967" s="6" t="str">
        <f>HYPERLINK(SUBSTITUTE(T(hl_0),"{0}","900331903811165"),hn_0)</f>
        <v>ОВ</v>
      </c>
      <c r="B967" s="7" t="s">
        <v>231</v>
      </c>
      <c r="C967" s="8">
        <v>6000</v>
      </c>
      <c r="D967" s="7" t="s">
        <v>36</v>
      </c>
      <c r="E967" s="7" t="s">
        <v>20</v>
      </c>
    </row>
    <row r="968" spans="1:5" ht="25.5">
      <c r="A968" s="6" t="str">
        <f>HYPERLINK(SUBSTITUTE(T(hl_0),"{0}","320327071536991"),hn_0)</f>
        <v>ОВ</v>
      </c>
      <c r="B968" s="7" t="s">
        <v>232</v>
      </c>
      <c r="C968" s="8">
        <v>8753</v>
      </c>
      <c r="D968" s="7" t="s">
        <v>16</v>
      </c>
      <c r="E968" s="7" t="s">
        <v>17</v>
      </c>
    </row>
    <row r="969" spans="1:5" ht="25.5">
      <c r="A969" s="6" t="str">
        <f>HYPERLINK(SUBSTITUTE(T(hl_0),"{0}","320329994777918"),hn_0)</f>
        <v>ОВ</v>
      </c>
      <c r="B969" s="7" t="s">
        <v>232</v>
      </c>
      <c r="C969" s="8">
        <v>8753</v>
      </c>
      <c r="D969" s="7" t="s">
        <v>16</v>
      </c>
      <c r="E969" s="7" t="s">
        <v>17</v>
      </c>
    </row>
    <row r="970" spans="1:5" ht="25.5">
      <c r="A970" s="6" t="str">
        <f>HYPERLINK(SUBSTITUTE(T(hl_0),"{0}","320329994773494"),hn_0)</f>
        <v>ОВ</v>
      </c>
      <c r="B970" s="7" t="s">
        <v>232</v>
      </c>
      <c r="C970" s="8">
        <v>8753</v>
      </c>
      <c r="D970" s="7" t="s">
        <v>16</v>
      </c>
      <c r="E970" s="7" t="s">
        <v>17</v>
      </c>
    </row>
    <row r="971" spans="1:5" ht="12.75">
      <c r="A971" s="6" t="str">
        <f>HYPERLINK(SUBSTITUTE(T(hl_0),"{0}","900327360239904"),hn_0)</f>
        <v>ОВ</v>
      </c>
      <c r="B971" s="7" t="s">
        <v>232</v>
      </c>
      <c r="C971" s="8">
        <v>6000</v>
      </c>
      <c r="D971" s="7" t="s">
        <v>11</v>
      </c>
      <c r="E971" s="7" t="s">
        <v>20</v>
      </c>
    </row>
    <row r="972" spans="1:5" ht="12.75">
      <c r="A972" s="6" t="str">
        <f>HYPERLINK(SUBSTITUTE(T(hl_0),"{0}","900327360239912"),hn_0)</f>
        <v>ОВ</v>
      </c>
      <c r="B972" s="7" t="s">
        <v>232</v>
      </c>
      <c r="C972" s="8">
        <v>6000</v>
      </c>
      <c r="D972" s="7" t="s">
        <v>11</v>
      </c>
      <c r="E972" s="7" t="s">
        <v>20</v>
      </c>
    </row>
    <row r="973" spans="1:5" ht="12.75">
      <c r="A973" s="6" t="str">
        <f>HYPERLINK(SUBSTITUTE(T(hl_0),"{0}","900327360239924"),hn_0)</f>
        <v>ОВ</v>
      </c>
      <c r="B973" s="7" t="s">
        <v>232</v>
      </c>
      <c r="C973" s="8">
        <v>6000</v>
      </c>
      <c r="D973" s="7" t="s">
        <v>11</v>
      </c>
      <c r="E973" s="7" t="s">
        <v>20</v>
      </c>
    </row>
    <row r="974" spans="1:5" ht="12.75">
      <c r="A974" s="6" t="str">
        <f>HYPERLINK(SUBSTITUTE(T(hl_0),"{0}","900332146181265"),hn_0)</f>
        <v>ОВ</v>
      </c>
      <c r="B974" s="7" t="s">
        <v>233</v>
      </c>
      <c r="C974" s="8">
        <v>6343</v>
      </c>
      <c r="D974" s="7" t="s">
        <v>18</v>
      </c>
      <c r="E974" s="7" t="s">
        <v>20</v>
      </c>
    </row>
    <row r="975" spans="1:5" ht="12.75">
      <c r="A975" s="6" t="str">
        <f>HYPERLINK(SUBSTITUTE(T(hl_0),"{0}","900332146207578"),hn_0)</f>
        <v>ОВ</v>
      </c>
      <c r="B975" s="7" t="s">
        <v>233</v>
      </c>
      <c r="C975" s="8">
        <v>6343</v>
      </c>
      <c r="D975" s="7" t="s">
        <v>206</v>
      </c>
      <c r="E975" s="7" t="s">
        <v>20</v>
      </c>
    </row>
    <row r="976" spans="1:5" ht="12.75">
      <c r="A976" s="6" t="str">
        <f>HYPERLINK(SUBSTITUTE(T(hl_0),"{0}","900332146441677"),hn_0)</f>
        <v>ОВ</v>
      </c>
      <c r="B976" s="7" t="s">
        <v>234</v>
      </c>
      <c r="C976" s="8">
        <v>8099.52</v>
      </c>
      <c r="D976" s="7" t="s">
        <v>14</v>
      </c>
      <c r="E976" s="7" t="s">
        <v>20</v>
      </c>
    </row>
    <row r="977" spans="1:5" ht="12.75">
      <c r="A977" s="6" t="str">
        <f>HYPERLINK(SUBSTITUTE(T(hl_0),"{0}","900332145920639"),hn_0)</f>
        <v>ОВ</v>
      </c>
      <c r="B977" s="7" t="s">
        <v>235</v>
      </c>
      <c r="C977" s="8">
        <v>6942.6</v>
      </c>
      <c r="D977" s="7" t="s">
        <v>18</v>
      </c>
      <c r="E977" s="7" t="s">
        <v>20</v>
      </c>
    </row>
    <row r="978" spans="1:5" ht="12.75">
      <c r="A978" s="6" t="str">
        <f>HYPERLINK(SUBSTITUTE(T(hl_0),"{0}","900332145899381"),hn_0)</f>
        <v>ОВ</v>
      </c>
      <c r="B978" s="7" t="s">
        <v>235</v>
      </c>
      <c r="C978" s="8">
        <v>6942.6</v>
      </c>
      <c r="D978" s="7" t="s">
        <v>16</v>
      </c>
      <c r="E978" s="7" t="s">
        <v>20</v>
      </c>
    </row>
    <row r="979" spans="1:5" ht="12.75">
      <c r="A979" s="6" t="str">
        <f>HYPERLINK(SUBSTITUTE(T(hl_0),"{0}","900332145955589"),hn_0)</f>
        <v>ОВ</v>
      </c>
      <c r="B979" s="7" t="s">
        <v>235</v>
      </c>
      <c r="C979" s="8">
        <v>6942.6</v>
      </c>
      <c r="D979" s="7" t="s">
        <v>14</v>
      </c>
      <c r="E979" s="7" t="s">
        <v>20</v>
      </c>
    </row>
    <row r="980" spans="1:5" ht="12.75">
      <c r="A980" s="6" t="str">
        <f>HYPERLINK(SUBSTITUTE(T(hl_0),"{0}","900332145947376"),hn_0)</f>
        <v>ОВ</v>
      </c>
      <c r="B980" s="7" t="s">
        <v>235</v>
      </c>
      <c r="C980" s="8">
        <v>6942.6</v>
      </c>
      <c r="D980" s="7" t="s">
        <v>14</v>
      </c>
      <c r="E980" s="7" t="s">
        <v>20</v>
      </c>
    </row>
    <row r="981" spans="1:5" ht="12.75">
      <c r="A981" s="6" t="str">
        <f>HYPERLINK(SUBSTITUTE(T(hl_0),"{0}","900332145933914"),hn_0)</f>
        <v>ОВ</v>
      </c>
      <c r="B981" s="7" t="s">
        <v>235</v>
      </c>
      <c r="C981" s="8">
        <v>6942.6</v>
      </c>
      <c r="D981" s="7" t="s">
        <v>42</v>
      </c>
      <c r="E981" s="7" t="s">
        <v>20</v>
      </c>
    </row>
    <row r="982" spans="1:5" ht="12.75">
      <c r="A982" s="6" t="str">
        <f>HYPERLINK(SUBSTITUTE(T(hl_0),"{0}","900332145916456"),hn_0)</f>
        <v>ОВ</v>
      </c>
      <c r="B982" s="7" t="s">
        <v>235</v>
      </c>
      <c r="C982" s="8">
        <v>6942.6</v>
      </c>
      <c r="D982" s="7" t="s">
        <v>18</v>
      </c>
      <c r="E982" s="7" t="s">
        <v>20</v>
      </c>
    </row>
    <row r="983" spans="1:5" ht="12.75">
      <c r="A983" s="6" t="str">
        <f>HYPERLINK(SUBSTITUTE(T(hl_0),"{0}","900332145927428"),hn_0)</f>
        <v>ОВ</v>
      </c>
      <c r="B983" s="7" t="s">
        <v>235</v>
      </c>
      <c r="C983" s="8">
        <v>6942.6</v>
      </c>
      <c r="D983" s="7" t="s">
        <v>11</v>
      </c>
      <c r="E983" s="7" t="s">
        <v>20</v>
      </c>
    </row>
    <row r="984" spans="1:5" ht="12.75">
      <c r="A984" s="6" t="str">
        <f>HYPERLINK(SUBSTITUTE(T(hl_0),"{0}","900332054007460"),hn_0)</f>
        <v>ОВ</v>
      </c>
      <c r="B984" s="7" t="s">
        <v>236</v>
      </c>
      <c r="C984" s="8">
        <v>6941.46</v>
      </c>
      <c r="D984" s="7" t="s">
        <v>18</v>
      </c>
      <c r="E984" s="7" t="s">
        <v>20</v>
      </c>
    </row>
    <row r="985" spans="1:5" ht="12.75">
      <c r="A985" s="6" t="str">
        <f>HYPERLINK(SUBSTITUTE(T(hl_0),"{0}","900332054013109"),hn_0)</f>
        <v>ОВ</v>
      </c>
      <c r="B985" s="7" t="s">
        <v>236</v>
      </c>
      <c r="C985" s="8">
        <v>6941.46</v>
      </c>
      <c r="D985" s="7" t="s">
        <v>18</v>
      </c>
      <c r="E985" s="7" t="s">
        <v>20</v>
      </c>
    </row>
    <row r="986" spans="1:5" ht="12.75">
      <c r="A986" s="6" t="str">
        <f>HYPERLINK(SUBSTITUTE(T(hl_0),"{0}","900332053951062"),hn_0)</f>
        <v>ОВ</v>
      </c>
      <c r="B986" s="7" t="s">
        <v>236</v>
      </c>
      <c r="C986" s="8">
        <v>6941.46</v>
      </c>
      <c r="D986" s="7" t="s">
        <v>11</v>
      </c>
      <c r="E986" s="7" t="s">
        <v>20</v>
      </c>
    </row>
    <row r="987" spans="1:5" ht="12.75">
      <c r="A987" s="6" t="str">
        <f>HYPERLINK(SUBSTITUTE(T(hl_0),"{0}","900332054000385"),hn_0)</f>
        <v>ОВ</v>
      </c>
      <c r="B987" s="7" t="s">
        <v>236</v>
      </c>
      <c r="C987" s="8">
        <v>6941.46</v>
      </c>
      <c r="D987" s="7" t="s">
        <v>34</v>
      </c>
      <c r="E987" s="7" t="s">
        <v>20</v>
      </c>
    </row>
    <row r="988" spans="1:5" ht="12.75">
      <c r="A988" s="6" t="str">
        <f>HYPERLINK(SUBSTITUTE(T(hl_0),"{0}","900332145654057"),hn_0)</f>
        <v>ОВ</v>
      </c>
      <c r="B988" s="7" t="s">
        <v>236</v>
      </c>
      <c r="C988" s="8">
        <v>6941.46</v>
      </c>
      <c r="D988" s="7" t="s">
        <v>44</v>
      </c>
      <c r="E988" s="7" t="s">
        <v>20</v>
      </c>
    </row>
    <row r="989" spans="1:5" ht="12.75">
      <c r="A989" s="6" t="str">
        <f>HYPERLINK(SUBSTITUTE(T(hl_0),"{0}","900332145670093"),hn_0)</f>
        <v>ОВ</v>
      </c>
      <c r="B989" s="7" t="s">
        <v>236</v>
      </c>
      <c r="C989" s="8">
        <v>6941.46</v>
      </c>
      <c r="D989" s="7" t="s">
        <v>37</v>
      </c>
      <c r="E989" s="7" t="s">
        <v>20</v>
      </c>
    </row>
    <row r="990" spans="1:5" ht="12.75">
      <c r="A990" s="6" t="str">
        <f>HYPERLINK(SUBSTITUTE(T(hl_0),"{0}","900332144063803"),hn_0)</f>
        <v>ОВ</v>
      </c>
      <c r="B990" s="7" t="s">
        <v>236</v>
      </c>
      <c r="C990" s="8">
        <v>6941.46</v>
      </c>
      <c r="D990" s="7" t="s">
        <v>57</v>
      </c>
      <c r="E990" s="7" t="s">
        <v>20</v>
      </c>
    </row>
    <row r="991" spans="1:5" ht="12.75">
      <c r="A991" s="6" t="str">
        <f>HYPERLINK(SUBSTITUTE(T(hl_0),"{0}","900332053995531"),hn_0)</f>
        <v>ОВ</v>
      </c>
      <c r="B991" s="7" t="s">
        <v>236</v>
      </c>
      <c r="C991" s="8">
        <v>6941.46</v>
      </c>
      <c r="D991" s="7" t="s">
        <v>34</v>
      </c>
      <c r="E991" s="7" t="s">
        <v>20</v>
      </c>
    </row>
    <row r="992" spans="1:5" ht="12.75">
      <c r="A992" s="6" t="str">
        <f>HYPERLINK(SUBSTITUTE(T(hl_0),"{0}","900332143959234"),hn_0)</f>
        <v>ОВ</v>
      </c>
      <c r="B992" s="7" t="s">
        <v>236</v>
      </c>
      <c r="C992" s="8">
        <v>6941.46</v>
      </c>
      <c r="D992" s="7" t="s">
        <v>206</v>
      </c>
      <c r="E992" s="7" t="s">
        <v>20</v>
      </c>
    </row>
    <row r="993" spans="1:5" ht="12.75">
      <c r="A993" s="6" t="str">
        <f>HYPERLINK(SUBSTITUTE(T(hl_0),"{0}","900332053974499"),hn_0)</f>
        <v>ОВ</v>
      </c>
      <c r="B993" s="7" t="s">
        <v>236</v>
      </c>
      <c r="C993" s="8">
        <v>6941.46</v>
      </c>
      <c r="D993" s="7" t="s">
        <v>223</v>
      </c>
      <c r="E993" s="7" t="s">
        <v>20</v>
      </c>
    </row>
    <row r="994" spans="1:5" ht="12.75">
      <c r="A994" s="6" t="str">
        <f>HYPERLINK(SUBSTITUTE(T(hl_0),"{0}","900332053979113"),hn_0)</f>
        <v>ОВ</v>
      </c>
      <c r="B994" s="7" t="s">
        <v>236</v>
      </c>
      <c r="C994" s="8">
        <v>6941.46</v>
      </c>
      <c r="D994" s="7" t="s">
        <v>237</v>
      </c>
      <c r="E994" s="7" t="s">
        <v>20</v>
      </c>
    </row>
    <row r="995" spans="1:5" ht="12.75">
      <c r="A995" s="6" t="str">
        <f>HYPERLINK(SUBSTITUTE(T(hl_0),"{0}","900332145678278"),hn_0)</f>
        <v>ОВ</v>
      </c>
      <c r="B995" s="7" t="s">
        <v>236</v>
      </c>
      <c r="C995" s="8">
        <v>6941.46</v>
      </c>
      <c r="D995" s="7" t="s">
        <v>30</v>
      </c>
      <c r="E995" s="7" t="s">
        <v>20</v>
      </c>
    </row>
    <row r="996" spans="1:5" ht="12.75">
      <c r="A996" s="6" t="str">
        <f>HYPERLINK(SUBSTITUTE(T(hl_0),"{0}","900332053929224"),hn_0)</f>
        <v>ОВ</v>
      </c>
      <c r="B996" s="7" t="s">
        <v>236</v>
      </c>
      <c r="C996" s="8">
        <v>6941.46</v>
      </c>
      <c r="D996" s="7" t="s">
        <v>16</v>
      </c>
      <c r="E996" s="7" t="s">
        <v>20</v>
      </c>
    </row>
    <row r="997" spans="1:5" ht="12.75">
      <c r="A997" s="6" t="str">
        <f>HYPERLINK(SUBSTITUTE(T(hl_0),"{0}","900332145661535"),hn_0)</f>
        <v>ОВ</v>
      </c>
      <c r="B997" s="7" t="s">
        <v>236</v>
      </c>
      <c r="C997" s="8">
        <v>6941.46</v>
      </c>
      <c r="D997" s="7" t="s">
        <v>14</v>
      </c>
      <c r="E997" s="7" t="s">
        <v>20</v>
      </c>
    </row>
    <row r="998" spans="1:5" ht="12.75">
      <c r="A998" s="6" t="str">
        <f>HYPERLINK(SUBSTITUTE(T(hl_0),"{0}","900332053971563"),hn_0)</f>
        <v>ОВ</v>
      </c>
      <c r="B998" s="7" t="s">
        <v>236</v>
      </c>
      <c r="C998" s="8">
        <v>6941.46</v>
      </c>
      <c r="D998" s="7" t="s">
        <v>36</v>
      </c>
      <c r="E998" s="7" t="s">
        <v>20</v>
      </c>
    </row>
    <row r="999" spans="1:5" ht="12.75">
      <c r="A999" s="6" t="str">
        <f>HYPERLINK(SUBSTITUTE(T(hl_0),"{0}","900332054023696"),hn_0)</f>
        <v>ОВ</v>
      </c>
      <c r="B999" s="7" t="s">
        <v>236</v>
      </c>
      <c r="C999" s="8">
        <v>6941.46</v>
      </c>
      <c r="D999" s="7" t="s">
        <v>42</v>
      </c>
      <c r="E999" s="7" t="s">
        <v>20</v>
      </c>
    </row>
    <row r="1000" spans="1:5" ht="12.75">
      <c r="A1000" s="6" t="str">
        <f>HYPERLINK(SUBSTITUTE(T(hl_0),"{0}","900332054017316"),hn_0)</f>
        <v>ОВ</v>
      </c>
      <c r="B1000" s="7" t="s">
        <v>236</v>
      </c>
      <c r="C1000" s="8">
        <v>6941.46</v>
      </c>
      <c r="D1000" s="7" t="s">
        <v>42</v>
      </c>
      <c r="E1000" s="7" t="s">
        <v>20</v>
      </c>
    </row>
    <row r="1001" spans="1:5" ht="12.75">
      <c r="A1001" s="6" t="str">
        <f>HYPERLINK(SUBSTITUTE(T(hl_0),"{0}","900332053954451"),hn_0)</f>
        <v>ОВ</v>
      </c>
      <c r="B1001" s="7" t="s">
        <v>236</v>
      </c>
      <c r="C1001" s="8">
        <v>6941.46</v>
      </c>
      <c r="D1001" s="7" t="s">
        <v>36</v>
      </c>
      <c r="E1001" s="7" t="s">
        <v>20</v>
      </c>
    </row>
    <row r="1002" spans="1:5" ht="12.75">
      <c r="A1002" s="6" t="str">
        <f>HYPERLINK(SUBSTITUTE(T(hl_0),"{0}","900332145703390"),hn_0)</f>
        <v>ОВ</v>
      </c>
      <c r="B1002" s="7" t="s">
        <v>236</v>
      </c>
      <c r="C1002" s="8">
        <v>6941.46</v>
      </c>
      <c r="D1002" s="7" t="s">
        <v>208</v>
      </c>
      <c r="E1002" s="7" t="s">
        <v>20</v>
      </c>
    </row>
    <row r="1003" spans="1:5" ht="12.75">
      <c r="A1003" s="6" t="str">
        <f>HYPERLINK(SUBSTITUTE(T(hl_0),"{0}","900332145977467"),hn_0)</f>
        <v>ОВ</v>
      </c>
      <c r="B1003" s="7" t="s">
        <v>238</v>
      </c>
      <c r="C1003" s="8">
        <v>6680</v>
      </c>
      <c r="D1003" s="7" t="s">
        <v>16</v>
      </c>
      <c r="E1003" s="7" t="s">
        <v>20</v>
      </c>
    </row>
    <row r="1004" spans="1:5" ht="12.75">
      <c r="A1004" s="6" t="str">
        <f>HYPERLINK(SUBSTITUTE(T(hl_0),"{0}","900332146072008"),hn_0)</f>
        <v>ОВ</v>
      </c>
      <c r="B1004" s="7" t="s">
        <v>238</v>
      </c>
      <c r="C1004" s="8">
        <v>6680</v>
      </c>
      <c r="D1004" s="7" t="s">
        <v>237</v>
      </c>
      <c r="E1004" s="7" t="s">
        <v>20</v>
      </c>
    </row>
    <row r="1005" spans="1:5" ht="12.75">
      <c r="A1005" s="6" t="str">
        <f>HYPERLINK(SUBSTITUTE(T(hl_0),"{0}","900332146128843"),hn_0)</f>
        <v>ОВ</v>
      </c>
      <c r="B1005" s="7" t="s">
        <v>238</v>
      </c>
      <c r="C1005" s="8">
        <v>6680</v>
      </c>
      <c r="D1005" s="7" t="s">
        <v>239</v>
      </c>
      <c r="E1005" s="7" t="s">
        <v>20</v>
      </c>
    </row>
    <row r="1006" spans="1:5" ht="12.75">
      <c r="A1006" s="6" t="str">
        <f>HYPERLINK(SUBSTITUTE(T(hl_0),"{0}","900332146132461"),hn_0)</f>
        <v>ОВ</v>
      </c>
      <c r="B1006" s="7" t="s">
        <v>238</v>
      </c>
      <c r="C1006" s="8">
        <v>6680</v>
      </c>
      <c r="D1006" s="7" t="s">
        <v>30</v>
      </c>
      <c r="E1006" s="7" t="s">
        <v>20</v>
      </c>
    </row>
    <row r="1007" spans="1:5" ht="12.75">
      <c r="A1007" s="6" t="str">
        <f>HYPERLINK(SUBSTITUTE(T(hl_0),"{0}","900332146135521"),hn_0)</f>
        <v>ОВ</v>
      </c>
      <c r="B1007" s="7" t="s">
        <v>238</v>
      </c>
      <c r="C1007" s="8">
        <v>6680</v>
      </c>
      <c r="D1007" s="7" t="s">
        <v>240</v>
      </c>
      <c r="E1007" s="7" t="s">
        <v>20</v>
      </c>
    </row>
    <row r="1008" spans="1:5" ht="12.75">
      <c r="A1008" s="6" t="str">
        <f>HYPERLINK(SUBSTITUTE(T(hl_0),"{0}","900332146118309"),hn_0)</f>
        <v>ОВ</v>
      </c>
      <c r="B1008" s="7" t="s">
        <v>238</v>
      </c>
      <c r="C1008" s="8">
        <v>6680</v>
      </c>
      <c r="D1008" s="7" t="s">
        <v>44</v>
      </c>
      <c r="E1008" s="7" t="s">
        <v>20</v>
      </c>
    </row>
    <row r="1009" spans="1:5" ht="12.75">
      <c r="A1009" s="6" t="str">
        <f>HYPERLINK(SUBSTITUTE(T(hl_0),"{0}","900332146139852"),hn_0)</f>
        <v>ОВ</v>
      </c>
      <c r="B1009" s="7" t="s">
        <v>238</v>
      </c>
      <c r="C1009" s="8">
        <v>6680</v>
      </c>
      <c r="D1009" s="7" t="s">
        <v>208</v>
      </c>
      <c r="E1009" s="7" t="s">
        <v>20</v>
      </c>
    </row>
    <row r="1010" spans="1:5" ht="12.75">
      <c r="A1010" s="6" t="str">
        <f>HYPERLINK(SUBSTITUTE(T(hl_0),"{0}","900332146142849"),hn_0)</f>
        <v>ОВ</v>
      </c>
      <c r="B1010" s="7" t="s">
        <v>238</v>
      </c>
      <c r="C1010" s="8">
        <v>6680</v>
      </c>
      <c r="D1010" s="7" t="s">
        <v>11</v>
      </c>
      <c r="E1010" s="7" t="s">
        <v>20</v>
      </c>
    </row>
    <row r="1011" spans="1:5" ht="12.75">
      <c r="A1011" s="6" t="str">
        <f>HYPERLINK(SUBSTITUTE(T(hl_0),"{0}","900332146109772"),hn_0)</f>
        <v>ОВ</v>
      </c>
      <c r="B1011" s="7" t="s">
        <v>238</v>
      </c>
      <c r="C1011" s="8">
        <v>6680</v>
      </c>
      <c r="D1011" s="7" t="s">
        <v>42</v>
      </c>
      <c r="E1011" s="7" t="s">
        <v>20</v>
      </c>
    </row>
    <row r="1012" spans="1:5" ht="12.75">
      <c r="A1012" s="6" t="str">
        <f>HYPERLINK(SUBSTITUTE(T(hl_0),"{0}","900332146121820"),hn_0)</f>
        <v>ОВ</v>
      </c>
      <c r="B1012" s="7" t="s">
        <v>238</v>
      </c>
      <c r="C1012" s="8">
        <v>6680</v>
      </c>
      <c r="D1012" s="7" t="s">
        <v>14</v>
      </c>
      <c r="E1012" s="7" t="s">
        <v>20</v>
      </c>
    </row>
    <row r="1013" spans="1:5" ht="12.75">
      <c r="A1013" s="6" t="str">
        <f>HYPERLINK(SUBSTITUTE(T(hl_0),"{0}","900332146083993"),hn_0)</f>
        <v>ОВ</v>
      </c>
      <c r="B1013" s="7" t="s">
        <v>238</v>
      </c>
      <c r="C1013" s="8">
        <v>6680</v>
      </c>
      <c r="D1013" s="7" t="s">
        <v>18</v>
      </c>
      <c r="E1013" s="7" t="s">
        <v>20</v>
      </c>
    </row>
    <row r="1014" spans="1:5" ht="12.75">
      <c r="A1014" s="6" t="str">
        <f>HYPERLINK(SUBSTITUTE(T(hl_0),"{0}","900332146092031"),hn_0)</f>
        <v>ОВ</v>
      </c>
      <c r="B1014" s="7" t="s">
        <v>238</v>
      </c>
      <c r="C1014" s="8">
        <v>6680</v>
      </c>
      <c r="D1014" s="7" t="s">
        <v>11</v>
      </c>
      <c r="E1014" s="7" t="s">
        <v>20</v>
      </c>
    </row>
    <row r="1015" spans="1:5" ht="12.75">
      <c r="A1015" s="6" t="str">
        <f>HYPERLINK(SUBSTITUTE(T(hl_0),"{0}","900332146114275"),hn_0)</f>
        <v>ОВ</v>
      </c>
      <c r="B1015" s="7" t="s">
        <v>238</v>
      </c>
      <c r="C1015" s="8">
        <v>6680</v>
      </c>
      <c r="D1015" s="7" t="s">
        <v>57</v>
      </c>
      <c r="E1015" s="7" t="s">
        <v>20</v>
      </c>
    </row>
    <row r="1016" spans="1:5" ht="25.5">
      <c r="A1016" s="6" t="str">
        <f>HYPERLINK(SUBSTITUTE(T(hl_0),"{0}","900332501953431"),hn_0)</f>
        <v>ОВ</v>
      </c>
      <c r="B1016" s="7" t="s">
        <v>241</v>
      </c>
      <c r="C1016" s="8">
        <v>8000</v>
      </c>
      <c r="D1016" s="7" t="s">
        <v>11</v>
      </c>
      <c r="E1016" s="7" t="s">
        <v>20</v>
      </c>
    </row>
    <row r="1017" spans="1:5" ht="12.75">
      <c r="A1017" s="6" t="str">
        <f>HYPERLINK(SUBSTITUTE(T(hl_0),"{0}","319332705909416"),hn_0)</f>
        <v>ОВ</v>
      </c>
      <c r="B1017" s="7" t="s">
        <v>242</v>
      </c>
      <c r="C1017" s="8">
        <v>6000</v>
      </c>
      <c r="D1017" s="7" t="s">
        <v>14</v>
      </c>
      <c r="E1017" s="7" t="s">
        <v>15</v>
      </c>
    </row>
    <row r="1018" spans="1:5" ht="12.75">
      <c r="A1018" s="6" t="str">
        <f>HYPERLINK(SUBSTITUTE(T(hl_0),"{0}","900332675816506"),hn_0)</f>
        <v>ОВ</v>
      </c>
      <c r="B1018" s="7" t="s">
        <v>242</v>
      </c>
      <c r="C1018" s="8">
        <v>5000</v>
      </c>
      <c r="D1018" s="7" t="s">
        <v>11</v>
      </c>
      <c r="E1018" s="7" t="s">
        <v>20</v>
      </c>
    </row>
    <row r="1019" spans="1:5" ht="12.75">
      <c r="A1019" s="6" t="str">
        <f>HYPERLINK(SUBSTITUTE(T(hl_0),"{0}","900332675840030"),hn_0)</f>
        <v>ОВ</v>
      </c>
      <c r="B1019" s="7" t="s">
        <v>242</v>
      </c>
      <c r="C1019" s="8">
        <v>5000</v>
      </c>
      <c r="D1019" s="7" t="s">
        <v>11</v>
      </c>
      <c r="E1019" s="7" t="s">
        <v>20</v>
      </c>
    </row>
    <row r="1020" spans="1:5" ht="12.75">
      <c r="A1020" s="6" t="str">
        <f>HYPERLINK(SUBSTITUTE(T(hl_0),"{0}","319331674225265"),hn_0)</f>
        <v>ОВ</v>
      </c>
      <c r="B1020" s="7" t="s">
        <v>243</v>
      </c>
      <c r="C1020" s="8">
        <v>5500</v>
      </c>
      <c r="D1020" s="7" t="s">
        <v>14</v>
      </c>
      <c r="E1020" s="7" t="s">
        <v>15</v>
      </c>
    </row>
    <row r="1021" spans="1:5" ht="12.75">
      <c r="A1021" s="6" t="str">
        <f>HYPERLINK(SUBSTITUTE(T(hl_0),"{0}","321331849641293"),hn_0)</f>
        <v>ОВ</v>
      </c>
      <c r="B1021" s="7" t="s">
        <v>244</v>
      </c>
      <c r="C1021" s="8">
        <v>5620</v>
      </c>
      <c r="D1021" s="7" t="s">
        <v>18</v>
      </c>
      <c r="E1021" s="7" t="s">
        <v>19</v>
      </c>
    </row>
    <row r="1022" spans="1:5" ht="12.75">
      <c r="A1022" s="6" t="str">
        <f>HYPERLINK(SUBSTITUTE(T(hl_0),"{0}","325332052890584"),hn_0)</f>
        <v>ОВ</v>
      </c>
      <c r="B1022" s="7" t="s">
        <v>244</v>
      </c>
      <c r="C1022" s="8">
        <v>6000</v>
      </c>
      <c r="D1022" s="7" t="s">
        <v>34</v>
      </c>
      <c r="E1022" s="7" t="s">
        <v>27</v>
      </c>
    </row>
    <row r="1023" spans="1:5" ht="12.75">
      <c r="A1023" s="6" t="str">
        <f>HYPERLINK(SUBSTITUTE(T(hl_0),"{0}","327332649214768"),hn_0)</f>
        <v>ОВ</v>
      </c>
      <c r="B1023" s="7" t="s">
        <v>244</v>
      </c>
      <c r="C1023" s="8">
        <v>5000</v>
      </c>
      <c r="D1023" s="7" t="s">
        <v>245</v>
      </c>
      <c r="E1023" s="7" t="s">
        <v>12</v>
      </c>
    </row>
    <row r="1024" spans="1:5" ht="12.75">
      <c r="A1024" s="6" t="str">
        <f>HYPERLINK(SUBSTITUTE(T(hl_0),"{0}","328332416660867"),hn_0)</f>
        <v>ОВ</v>
      </c>
      <c r="B1024" s="7" t="s">
        <v>244</v>
      </c>
      <c r="C1024" s="8">
        <v>6000</v>
      </c>
      <c r="D1024" s="7" t="s">
        <v>246</v>
      </c>
      <c r="E1024" s="7" t="s">
        <v>58</v>
      </c>
    </row>
    <row r="1025" spans="1:5" ht="12.75">
      <c r="A1025" s="6" t="str">
        <f>HYPERLINK(SUBSTITUTE(T(hl_0),"{0}","328332416660845"),hn_0)</f>
        <v>ОВ</v>
      </c>
      <c r="B1025" s="7" t="s">
        <v>244</v>
      </c>
      <c r="C1025" s="8">
        <v>6000</v>
      </c>
      <c r="D1025" s="7" t="s">
        <v>246</v>
      </c>
      <c r="E1025" s="7" t="s">
        <v>58</v>
      </c>
    </row>
    <row r="1026" spans="1:5" ht="12.75">
      <c r="A1026" s="6" t="str">
        <f>HYPERLINK(SUBSTITUTE(T(hl_0),"{0}","328332416660875"),hn_0)</f>
        <v>ОВ</v>
      </c>
      <c r="B1026" s="7" t="s">
        <v>244</v>
      </c>
      <c r="C1026" s="8">
        <v>6000</v>
      </c>
      <c r="D1026" s="7" t="s">
        <v>246</v>
      </c>
      <c r="E1026" s="7" t="s">
        <v>58</v>
      </c>
    </row>
    <row r="1027" spans="1:5" ht="12.75">
      <c r="A1027" s="6" t="str">
        <f>HYPERLINK(SUBSTITUTE(T(hl_0),"{0}","328332415876212"),hn_0)</f>
        <v>ОВ</v>
      </c>
      <c r="B1027" s="7" t="s">
        <v>244</v>
      </c>
      <c r="C1027" s="8">
        <v>6000</v>
      </c>
      <c r="D1027" s="7" t="s">
        <v>247</v>
      </c>
      <c r="E1027" s="7" t="s">
        <v>58</v>
      </c>
    </row>
    <row r="1028" spans="1:5" ht="12.75">
      <c r="A1028" s="6" t="str">
        <f>HYPERLINK(SUBSTITUTE(T(hl_0),"{0}","328332416660885"),hn_0)</f>
        <v>ОВ</v>
      </c>
      <c r="B1028" s="7" t="s">
        <v>244</v>
      </c>
      <c r="C1028" s="8">
        <v>6000</v>
      </c>
      <c r="D1028" s="7" t="s">
        <v>246</v>
      </c>
      <c r="E1028" s="7" t="s">
        <v>58</v>
      </c>
    </row>
    <row r="1029" spans="1:5" ht="12.75">
      <c r="A1029" s="6" t="str">
        <f>HYPERLINK(SUBSTITUTE(T(hl_0),"{0}","328332415904377"),hn_0)</f>
        <v>ОВ</v>
      </c>
      <c r="B1029" s="7" t="s">
        <v>244</v>
      </c>
      <c r="C1029" s="8">
        <v>6000</v>
      </c>
      <c r="D1029" s="7" t="s">
        <v>248</v>
      </c>
      <c r="E1029" s="7" t="s">
        <v>58</v>
      </c>
    </row>
    <row r="1030" spans="1:5" ht="12.75">
      <c r="A1030" s="6" t="str">
        <f>HYPERLINK(SUBSTITUTE(T(hl_0),"{0}","328332415805180"),hn_0)</f>
        <v>ОВ</v>
      </c>
      <c r="B1030" s="7" t="s">
        <v>244</v>
      </c>
      <c r="C1030" s="8">
        <v>6000</v>
      </c>
      <c r="D1030" s="7" t="s">
        <v>249</v>
      </c>
      <c r="E1030" s="7" t="s">
        <v>58</v>
      </c>
    </row>
    <row r="1031" spans="1:5" ht="12.75">
      <c r="A1031" s="6" t="str">
        <f>HYPERLINK(SUBSTITUTE(T(hl_0),"{0}","328332415805267"),hn_0)</f>
        <v>ОВ</v>
      </c>
      <c r="B1031" s="7" t="s">
        <v>244</v>
      </c>
      <c r="C1031" s="8">
        <v>6000</v>
      </c>
      <c r="D1031" s="7" t="s">
        <v>249</v>
      </c>
      <c r="E1031" s="7" t="s">
        <v>58</v>
      </c>
    </row>
    <row r="1032" spans="1:5" ht="12.75">
      <c r="A1032" s="6" t="str">
        <f>HYPERLINK(SUBSTITUTE(T(hl_0),"{0}","328332415795568"),hn_0)</f>
        <v>ОВ</v>
      </c>
      <c r="B1032" s="7" t="s">
        <v>244</v>
      </c>
      <c r="C1032" s="8">
        <v>6000</v>
      </c>
      <c r="D1032" s="7" t="s">
        <v>249</v>
      </c>
      <c r="E1032" s="7" t="s">
        <v>58</v>
      </c>
    </row>
    <row r="1033" spans="1:5" ht="12.75">
      <c r="A1033" s="6" t="str">
        <f>HYPERLINK(SUBSTITUTE(T(hl_0),"{0}","328332415805257"),hn_0)</f>
        <v>ОВ</v>
      </c>
      <c r="B1033" s="7" t="s">
        <v>244</v>
      </c>
      <c r="C1033" s="8">
        <v>6000</v>
      </c>
      <c r="D1033" s="7" t="s">
        <v>249</v>
      </c>
      <c r="E1033" s="7" t="s">
        <v>58</v>
      </c>
    </row>
    <row r="1034" spans="1:5" ht="12.75">
      <c r="A1034" s="6" t="str">
        <f>HYPERLINK(SUBSTITUTE(T(hl_0),"{0}","328332415908521"),hn_0)</f>
        <v>ОВ</v>
      </c>
      <c r="B1034" s="7" t="s">
        <v>244</v>
      </c>
      <c r="C1034" s="8">
        <v>6000</v>
      </c>
      <c r="D1034" s="7" t="s">
        <v>248</v>
      </c>
      <c r="E1034" s="7" t="s">
        <v>58</v>
      </c>
    </row>
    <row r="1035" spans="1:5" ht="12.75">
      <c r="A1035" s="6" t="str">
        <f>HYPERLINK(SUBSTITUTE(T(hl_0),"{0}","328332415908546"),hn_0)</f>
        <v>ОВ</v>
      </c>
      <c r="B1035" s="7" t="s">
        <v>244</v>
      </c>
      <c r="C1035" s="8">
        <v>6000</v>
      </c>
      <c r="D1035" s="7" t="s">
        <v>248</v>
      </c>
      <c r="E1035" s="7" t="s">
        <v>58</v>
      </c>
    </row>
    <row r="1036" spans="1:5" ht="12.75">
      <c r="A1036" s="6" t="str">
        <f>HYPERLINK(SUBSTITUTE(T(hl_0),"{0}","328332415876228"),hn_0)</f>
        <v>ОВ</v>
      </c>
      <c r="B1036" s="7" t="s">
        <v>244</v>
      </c>
      <c r="C1036" s="8">
        <v>6000</v>
      </c>
      <c r="D1036" s="7" t="s">
        <v>247</v>
      </c>
      <c r="E1036" s="7" t="s">
        <v>58</v>
      </c>
    </row>
    <row r="1037" spans="1:5" ht="12.75">
      <c r="A1037" s="6" t="str">
        <f>HYPERLINK(SUBSTITUTE(T(hl_0),"{0}","328332416660859"),hn_0)</f>
        <v>ОВ</v>
      </c>
      <c r="B1037" s="7" t="s">
        <v>244</v>
      </c>
      <c r="C1037" s="8">
        <v>6000</v>
      </c>
      <c r="D1037" s="7" t="s">
        <v>246</v>
      </c>
      <c r="E1037" s="7" t="s">
        <v>58</v>
      </c>
    </row>
    <row r="1038" spans="1:5" ht="12.75">
      <c r="A1038" s="6" t="str">
        <f>HYPERLINK(SUBSTITUTE(T(hl_0),"{0}","328332415876220"),hn_0)</f>
        <v>ОВ</v>
      </c>
      <c r="B1038" s="7" t="s">
        <v>244</v>
      </c>
      <c r="C1038" s="8">
        <v>6000</v>
      </c>
      <c r="D1038" s="7" t="s">
        <v>247</v>
      </c>
      <c r="E1038" s="7" t="s">
        <v>58</v>
      </c>
    </row>
    <row r="1039" spans="1:5" ht="12.75">
      <c r="A1039" s="6" t="str">
        <f>HYPERLINK(SUBSTITUTE(T(hl_0),"{0}","328332415908554"),hn_0)</f>
        <v>ОВ</v>
      </c>
      <c r="B1039" s="7" t="s">
        <v>244</v>
      </c>
      <c r="C1039" s="8">
        <v>6000</v>
      </c>
      <c r="D1039" s="7" t="s">
        <v>248</v>
      </c>
      <c r="E1039" s="7" t="s">
        <v>58</v>
      </c>
    </row>
    <row r="1040" spans="1:5" ht="12.75">
      <c r="A1040" s="6" t="str">
        <f>HYPERLINK(SUBSTITUTE(T(hl_0),"{0}","328332557924768"),hn_0)</f>
        <v>ОВ</v>
      </c>
      <c r="B1040" s="7" t="s">
        <v>244</v>
      </c>
      <c r="C1040" s="8">
        <v>6000</v>
      </c>
      <c r="D1040" s="7" t="s">
        <v>57</v>
      </c>
      <c r="E1040" s="7" t="s">
        <v>58</v>
      </c>
    </row>
    <row r="1041" spans="1:5" ht="12.75">
      <c r="A1041" s="6" t="str">
        <f>HYPERLINK(SUBSTITUTE(T(hl_0),"{0}","328332415832695"),hn_0)</f>
        <v>ОВ</v>
      </c>
      <c r="B1041" s="7" t="s">
        <v>244</v>
      </c>
      <c r="C1041" s="8">
        <v>6000</v>
      </c>
      <c r="D1041" s="7" t="s">
        <v>247</v>
      </c>
      <c r="E1041" s="7" t="s">
        <v>58</v>
      </c>
    </row>
    <row r="1042" spans="1:5" ht="12.75">
      <c r="A1042" s="6" t="str">
        <f>HYPERLINK(SUBSTITUTE(T(hl_0),"{0}","328332416460792"),hn_0)</f>
        <v>ОВ</v>
      </c>
      <c r="B1042" s="7" t="s">
        <v>244</v>
      </c>
      <c r="C1042" s="8">
        <v>6000</v>
      </c>
      <c r="D1042" s="7" t="s">
        <v>246</v>
      </c>
      <c r="E1042" s="7" t="s">
        <v>58</v>
      </c>
    </row>
    <row r="1043" spans="1:5" ht="12.75">
      <c r="A1043" s="6" t="str">
        <f>HYPERLINK(SUBSTITUTE(T(hl_0),"{0}","328332415876237"),hn_0)</f>
        <v>ОВ</v>
      </c>
      <c r="B1043" s="7" t="s">
        <v>244</v>
      </c>
      <c r="C1043" s="8">
        <v>6000</v>
      </c>
      <c r="D1043" s="7" t="s">
        <v>247</v>
      </c>
      <c r="E1043" s="7" t="s">
        <v>58</v>
      </c>
    </row>
    <row r="1044" spans="1:5" ht="12.75">
      <c r="A1044" s="6" t="str">
        <f>HYPERLINK(SUBSTITUTE(T(hl_0),"{0}","332329115924957"),hn_0)</f>
        <v>ОВ</v>
      </c>
      <c r="B1044" s="7" t="s">
        <v>244</v>
      </c>
      <c r="C1044" s="8">
        <v>6000</v>
      </c>
      <c r="D1044" s="7" t="s">
        <v>30</v>
      </c>
      <c r="E1044" s="7" t="s">
        <v>31</v>
      </c>
    </row>
    <row r="1045" spans="1:5" ht="12.75">
      <c r="A1045" s="6" t="str">
        <f>HYPERLINK(SUBSTITUTE(T(hl_0),"{0}","330326871834048"),hn_0)</f>
        <v>ОВ</v>
      </c>
      <c r="B1045" s="7" t="s">
        <v>250</v>
      </c>
      <c r="C1045" s="8">
        <v>5000</v>
      </c>
      <c r="D1045" s="7" t="s">
        <v>44</v>
      </c>
      <c r="E1045" s="7" t="s">
        <v>29</v>
      </c>
    </row>
    <row r="1046" spans="1:5" ht="25.5">
      <c r="A1046" s="6" t="str">
        <f>HYPERLINK(SUBSTITUTE(T(hl_0),"{0}","330331507909465"),hn_0)</f>
        <v>ОВ</v>
      </c>
      <c r="B1046" s="7" t="s">
        <v>251</v>
      </c>
      <c r="C1046" s="8">
        <v>8500</v>
      </c>
      <c r="D1046" s="7" t="s">
        <v>252</v>
      </c>
      <c r="E1046" s="7" t="s">
        <v>29</v>
      </c>
    </row>
    <row r="1047" spans="1:5" ht="12.75">
      <c r="A1047" s="6" t="str">
        <f>HYPERLINK(SUBSTITUTE(T(hl_0),"{0}","900331676138928"),hn_0)</f>
        <v>ОВ</v>
      </c>
      <c r="B1047" s="7" t="s">
        <v>253</v>
      </c>
      <c r="C1047" s="8">
        <v>7000</v>
      </c>
      <c r="D1047" s="7" t="s">
        <v>11</v>
      </c>
      <c r="E1047" s="7" t="s">
        <v>20</v>
      </c>
    </row>
    <row r="1048" spans="1:5" ht="12.75">
      <c r="A1048" s="6" t="str">
        <f>HYPERLINK(SUBSTITUTE(T(hl_0),"{0}","900331676137056"),hn_0)</f>
        <v>ОВ</v>
      </c>
      <c r="B1048" s="7" t="s">
        <v>253</v>
      </c>
      <c r="C1048" s="8">
        <v>7000</v>
      </c>
      <c r="D1048" s="7" t="s">
        <v>11</v>
      </c>
      <c r="E1048" s="7" t="s">
        <v>20</v>
      </c>
    </row>
    <row r="1049" spans="1:5" ht="12.75">
      <c r="A1049" s="6" t="str">
        <f>HYPERLINK(SUBSTITUTE(T(hl_0),"{0}","319332251494250"),hn_0)</f>
        <v>ОВ</v>
      </c>
      <c r="B1049" s="7" t="s">
        <v>254</v>
      </c>
      <c r="C1049" s="8">
        <v>8000</v>
      </c>
      <c r="D1049" s="7" t="s">
        <v>14</v>
      </c>
      <c r="E1049" s="7" t="s">
        <v>15</v>
      </c>
    </row>
    <row r="1050" spans="1:5" ht="12.75">
      <c r="A1050" s="6" t="str">
        <f>HYPERLINK(SUBSTITUTE(T(hl_0),"{0}","327331966002419"),hn_0)</f>
        <v>ОВ</v>
      </c>
      <c r="B1050" s="7" t="s">
        <v>255</v>
      </c>
      <c r="C1050" s="8">
        <v>8000</v>
      </c>
      <c r="D1050" s="7" t="s">
        <v>41</v>
      </c>
      <c r="E1050" s="7" t="s">
        <v>12</v>
      </c>
    </row>
    <row r="1051" spans="1:5" ht="12.75">
      <c r="A1051" s="6" t="str">
        <f>HYPERLINK(SUBSTITUTE(T(hl_0),"{0}","900331625394271"),hn_0)</f>
        <v>ОВ</v>
      </c>
      <c r="B1051" s="7" t="s">
        <v>256</v>
      </c>
      <c r="C1051" s="8">
        <v>9000</v>
      </c>
      <c r="D1051" s="7" t="s">
        <v>11</v>
      </c>
      <c r="E1051" s="7" t="s">
        <v>20</v>
      </c>
    </row>
    <row r="1052" spans="1:5" ht="25.5">
      <c r="A1052" s="6" t="str">
        <f>HYPERLINK(SUBSTITUTE(T(hl_0),"{0}","321332147286490"),hn_0)</f>
        <v>ОВ</v>
      </c>
      <c r="B1052" s="7" t="s">
        <v>257</v>
      </c>
      <c r="C1052" s="8">
        <v>6000</v>
      </c>
      <c r="D1052" s="7" t="s">
        <v>18</v>
      </c>
      <c r="E1052" s="7" t="s">
        <v>19</v>
      </c>
    </row>
    <row r="1053" spans="1:5" ht="12.75">
      <c r="A1053" s="6" t="str">
        <f>HYPERLINK(SUBSTITUTE(T(hl_0),"{0}","319331625601106"),hn_0)</f>
        <v>ОВ</v>
      </c>
      <c r="B1053" s="7" t="s">
        <v>258</v>
      </c>
      <c r="C1053" s="8">
        <v>6000</v>
      </c>
      <c r="D1053" s="7" t="s">
        <v>14</v>
      </c>
      <c r="E1053" s="7" t="s">
        <v>15</v>
      </c>
    </row>
    <row r="1054" spans="1:5" ht="12.75">
      <c r="A1054" s="6" t="str">
        <f>HYPERLINK(SUBSTITUTE(T(hl_0),"{0}","319331625592602"),hn_0)</f>
        <v>ОВ</v>
      </c>
      <c r="B1054" s="7" t="s">
        <v>258</v>
      </c>
      <c r="C1054" s="8">
        <v>6000</v>
      </c>
      <c r="D1054" s="7" t="s">
        <v>14</v>
      </c>
      <c r="E1054" s="7" t="s">
        <v>15</v>
      </c>
    </row>
    <row r="1055" spans="1:5" ht="12.75">
      <c r="A1055" s="6" t="str">
        <f>HYPERLINK(SUBSTITUTE(T(hl_0),"{0}","322332416456582"),hn_0)</f>
        <v>ОВ</v>
      </c>
      <c r="B1055" s="7" t="s">
        <v>259</v>
      </c>
      <c r="C1055" s="8">
        <v>6000</v>
      </c>
      <c r="D1055" s="7" t="s">
        <v>260</v>
      </c>
      <c r="E1055" s="7" t="s">
        <v>47</v>
      </c>
    </row>
    <row r="1056" spans="1:5" ht="12.75">
      <c r="A1056" s="6" t="str">
        <f>HYPERLINK(SUBSTITUTE(T(hl_0),"{0}","900331558362850"),hn_0)</f>
        <v>ОВ</v>
      </c>
      <c r="B1056" s="7" t="s">
        <v>261</v>
      </c>
      <c r="C1056" s="8">
        <v>8000</v>
      </c>
      <c r="D1056" s="7" t="s">
        <v>11</v>
      </c>
      <c r="E1056" s="7" t="s">
        <v>20</v>
      </c>
    </row>
    <row r="1057" spans="1:5" ht="12.75">
      <c r="A1057" s="6" t="str">
        <f>HYPERLINK(SUBSTITUTE(T(hl_0),"{0}","900331558004801"),hn_0)</f>
        <v>ОВ</v>
      </c>
      <c r="B1057" s="7" t="s">
        <v>261</v>
      </c>
      <c r="C1057" s="8">
        <v>8000</v>
      </c>
      <c r="D1057" s="7" t="s">
        <v>11</v>
      </c>
      <c r="E1057" s="7" t="s">
        <v>20</v>
      </c>
    </row>
    <row r="1058" spans="1:5" ht="12.75">
      <c r="A1058" s="6" t="str">
        <f>HYPERLINK(SUBSTITUTE(T(hl_0),"{0}","319332705470837"),hn_0)</f>
        <v>ОВ</v>
      </c>
      <c r="B1058" s="7" t="s">
        <v>262</v>
      </c>
      <c r="C1058" s="8">
        <v>6000</v>
      </c>
      <c r="D1058" s="7" t="s">
        <v>14</v>
      </c>
      <c r="E1058" s="7" t="s">
        <v>15</v>
      </c>
    </row>
    <row r="1059" spans="1:5" ht="12.75">
      <c r="A1059" s="6" t="str">
        <f>HYPERLINK(SUBSTITUTE(T(hl_0),"{0}","319332144187145"),hn_0)</f>
        <v>ОВ</v>
      </c>
      <c r="B1059" s="7" t="s">
        <v>262</v>
      </c>
      <c r="C1059" s="8">
        <v>7400</v>
      </c>
      <c r="D1059" s="7" t="s">
        <v>14</v>
      </c>
      <c r="E1059" s="7" t="s">
        <v>15</v>
      </c>
    </row>
    <row r="1060" spans="1:5" ht="12.75">
      <c r="A1060" s="6" t="str">
        <f>HYPERLINK(SUBSTITUTE(T(hl_0),"{0}","319332144186846"),hn_0)</f>
        <v>ОВ</v>
      </c>
      <c r="B1060" s="7" t="s">
        <v>262</v>
      </c>
      <c r="C1060" s="8">
        <v>7400</v>
      </c>
      <c r="D1060" s="7" t="s">
        <v>14</v>
      </c>
      <c r="E1060" s="7" t="s">
        <v>15</v>
      </c>
    </row>
    <row r="1061" spans="1:5" ht="12.75">
      <c r="A1061" s="6" t="str">
        <f>HYPERLINK(SUBSTITUTE(T(hl_0),"{0}","319328112828402"),hn_0)</f>
        <v>ОВ</v>
      </c>
      <c r="B1061" s="7" t="s">
        <v>262</v>
      </c>
      <c r="C1061" s="8">
        <v>6000</v>
      </c>
      <c r="D1061" s="7" t="s">
        <v>14</v>
      </c>
      <c r="E1061" s="7" t="s">
        <v>15</v>
      </c>
    </row>
    <row r="1062" spans="1:5" ht="12.75">
      <c r="A1062" s="6" t="str">
        <f>HYPERLINK(SUBSTITUTE(T(hl_0),"{0}","322332557490839"),hn_0)</f>
        <v>ОВ</v>
      </c>
      <c r="B1062" s="7" t="s">
        <v>262</v>
      </c>
      <c r="C1062" s="8">
        <v>5500</v>
      </c>
      <c r="D1062" s="7" t="s">
        <v>36</v>
      </c>
      <c r="E1062" s="7" t="s">
        <v>47</v>
      </c>
    </row>
    <row r="1063" spans="1:5" ht="12.75">
      <c r="A1063" s="6" t="str">
        <f>HYPERLINK(SUBSTITUTE(T(hl_0),"{0}","324331647738145"),hn_0)</f>
        <v>ОВ</v>
      </c>
      <c r="B1063" s="7" t="s">
        <v>262</v>
      </c>
      <c r="C1063" s="8">
        <v>5000</v>
      </c>
      <c r="D1063" s="7" t="s">
        <v>237</v>
      </c>
      <c r="E1063" s="7" t="s">
        <v>190</v>
      </c>
    </row>
    <row r="1064" spans="1:5" ht="12.75">
      <c r="A1064" s="6" t="str">
        <f>HYPERLINK(SUBSTITUTE(T(hl_0),"{0}","327332503817167"),hn_0)</f>
        <v>ОВ</v>
      </c>
      <c r="B1064" s="7" t="s">
        <v>262</v>
      </c>
      <c r="C1064" s="8">
        <v>5000</v>
      </c>
      <c r="D1064" s="7" t="s">
        <v>11</v>
      </c>
      <c r="E1064" s="7" t="s">
        <v>12</v>
      </c>
    </row>
    <row r="1065" spans="1:5" ht="12.75">
      <c r="A1065" s="6" t="str">
        <f>HYPERLINK(SUBSTITUTE(T(hl_0),"{0}","900332247045492"),hn_0)</f>
        <v>ОВ</v>
      </c>
      <c r="B1065" s="7" t="s">
        <v>262</v>
      </c>
      <c r="C1065" s="8">
        <v>5000</v>
      </c>
      <c r="D1065" s="7" t="s">
        <v>11</v>
      </c>
      <c r="E1065" s="7" t="s">
        <v>20</v>
      </c>
    </row>
    <row r="1066" spans="1:5" ht="12.75">
      <c r="A1066" s="6" t="str">
        <f>HYPERLINK(SUBSTITUTE(T(hl_0),"{0}","900331138005013"),hn_0)</f>
        <v>ОВ</v>
      </c>
      <c r="B1066" s="7" t="s">
        <v>262</v>
      </c>
      <c r="C1066" s="8">
        <v>8000</v>
      </c>
      <c r="D1066" s="7" t="s">
        <v>53</v>
      </c>
      <c r="E1066" s="7" t="s">
        <v>20</v>
      </c>
    </row>
    <row r="1067" spans="1:5" ht="12.75">
      <c r="A1067" s="6" t="str">
        <f>HYPERLINK(SUBSTITUTE(T(hl_0),"{0}","900327837691337"),hn_0)</f>
        <v>ОВ</v>
      </c>
      <c r="B1067" s="7" t="s">
        <v>262</v>
      </c>
      <c r="C1067" s="8">
        <v>7700</v>
      </c>
      <c r="D1067" s="7" t="s">
        <v>11</v>
      </c>
      <c r="E1067" s="7" t="s">
        <v>20</v>
      </c>
    </row>
    <row r="1068" spans="1:5" ht="12.75">
      <c r="A1068" s="6" t="str">
        <f>HYPERLINK(SUBSTITUTE(T(hl_0),"{0}","900327941971140"),hn_0)</f>
        <v>ОВ</v>
      </c>
      <c r="B1068" s="7" t="s">
        <v>262</v>
      </c>
      <c r="C1068" s="8">
        <v>7000</v>
      </c>
      <c r="D1068" s="7" t="s">
        <v>11</v>
      </c>
      <c r="E1068" s="7" t="s">
        <v>20</v>
      </c>
    </row>
    <row r="1069" spans="1:5" ht="12.75">
      <c r="A1069" s="6" t="str">
        <f>HYPERLINK(SUBSTITUTE(T(hl_0),"{0}","900327942155066"),hn_0)</f>
        <v>ОВ</v>
      </c>
      <c r="B1069" s="7" t="s">
        <v>262</v>
      </c>
      <c r="C1069" s="8">
        <v>7000</v>
      </c>
      <c r="D1069" s="7" t="s">
        <v>11</v>
      </c>
      <c r="E1069" s="7" t="s">
        <v>20</v>
      </c>
    </row>
    <row r="1070" spans="1:5" ht="12.75">
      <c r="A1070" s="6" t="str">
        <f>HYPERLINK(SUBSTITUTE(T(hl_0),"{0}","900327837705005"),hn_0)</f>
        <v>ОВ</v>
      </c>
      <c r="B1070" s="7" t="s">
        <v>262</v>
      </c>
      <c r="C1070" s="8">
        <v>7700</v>
      </c>
      <c r="D1070" s="7" t="s">
        <v>11</v>
      </c>
      <c r="E1070" s="7" t="s">
        <v>20</v>
      </c>
    </row>
    <row r="1071" spans="1:5" ht="12.75">
      <c r="A1071" s="6" t="str">
        <f>HYPERLINK(SUBSTITUTE(T(hl_0),"{0}","900327942156498"),hn_0)</f>
        <v>ОВ</v>
      </c>
      <c r="B1071" s="7" t="s">
        <v>262</v>
      </c>
      <c r="C1071" s="8">
        <v>7000</v>
      </c>
      <c r="D1071" s="7" t="s">
        <v>11</v>
      </c>
      <c r="E1071" s="7" t="s">
        <v>20</v>
      </c>
    </row>
    <row r="1072" spans="1:5" ht="12.75">
      <c r="A1072" s="6" t="str">
        <f>HYPERLINK(SUBSTITUTE(T(hl_0),"{0}","900327811723088"),hn_0)</f>
        <v>ОВ</v>
      </c>
      <c r="B1072" s="7" t="s">
        <v>262</v>
      </c>
      <c r="C1072" s="8">
        <v>8000</v>
      </c>
      <c r="D1072" s="7" t="s">
        <v>11</v>
      </c>
      <c r="E1072" s="7" t="s">
        <v>20</v>
      </c>
    </row>
    <row r="1073" spans="1:5" ht="12.75">
      <c r="A1073" s="6" t="str">
        <f>HYPERLINK(SUBSTITUTE(T(hl_0),"{0}","319332675904292"),hn_0)</f>
        <v>ОВ</v>
      </c>
      <c r="B1073" s="7" t="s">
        <v>263</v>
      </c>
      <c r="C1073" s="8">
        <v>5000</v>
      </c>
      <c r="D1073" s="7" t="s">
        <v>14</v>
      </c>
      <c r="E1073" s="7" t="s">
        <v>15</v>
      </c>
    </row>
    <row r="1074" spans="1:5" ht="12.75">
      <c r="A1074" s="6" t="str">
        <f>HYPERLINK(SUBSTITUTE(T(hl_0),"{0}","319330547705104"),hn_0)</f>
        <v>ОВ</v>
      </c>
      <c r="B1074" s="7" t="s">
        <v>263</v>
      </c>
      <c r="C1074" s="8">
        <v>5000</v>
      </c>
      <c r="D1074" s="7" t="s">
        <v>14</v>
      </c>
      <c r="E1074" s="7" t="s">
        <v>15</v>
      </c>
    </row>
    <row r="1075" spans="1:5" ht="12.75">
      <c r="A1075" s="6" t="str">
        <f>HYPERLINK(SUBSTITUTE(T(hl_0),"{0}","321332368433787"),hn_0)</f>
        <v>ОВ</v>
      </c>
      <c r="B1075" s="7" t="s">
        <v>263</v>
      </c>
      <c r="C1075" s="8">
        <v>8000</v>
      </c>
      <c r="D1075" s="7" t="s">
        <v>18</v>
      </c>
      <c r="E1075" s="7" t="s">
        <v>19</v>
      </c>
    </row>
    <row r="1076" spans="1:5" ht="12.75">
      <c r="A1076" s="6" t="str">
        <f>HYPERLINK(SUBSTITUTE(T(hl_0),"{0}","328332026788116"),hn_0)</f>
        <v>ОВ</v>
      </c>
      <c r="B1076" s="7" t="s">
        <v>263</v>
      </c>
      <c r="C1076" s="8">
        <v>5000</v>
      </c>
      <c r="D1076" s="7" t="s">
        <v>57</v>
      </c>
      <c r="E1076" s="7" t="s">
        <v>58</v>
      </c>
    </row>
    <row r="1077" spans="1:5" ht="12.75">
      <c r="A1077" s="6" t="str">
        <f>HYPERLINK(SUBSTITUTE(T(hl_0),"{0}","331332826094633"),hn_0)</f>
        <v>ОВ</v>
      </c>
      <c r="B1077" s="7" t="s">
        <v>263</v>
      </c>
      <c r="C1077" s="8">
        <v>6000</v>
      </c>
      <c r="D1077" s="7" t="s">
        <v>37</v>
      </c>
      <c r="E1077" s="7" t="s">
        <v>195</v>
      </c>
    </row>
    <row r="1078" spans="1:5" ht="12.75">
      <c r="A1078" s="6" t="str">
        <f>HYPERLINK(SUBSTITUTE(T(hl_0),"{0}","331332826094646"),hn_0)</f>
        <v>ОВ</v>
      </c>
      <c r="B1078" s="7" t="s">
        <v>263</v>
      </c>
      <c r="C1078" s="8">
        <v>6000</v>
      </c>
      <c r="D1078" s="7" t="s">
        <v>37</v>
      </c>
      <c r="E1078" s="7" t="s">
        <v>195</v>
      </c>
    </row>
    <row r="1079" spans="1:5" ht="12.75">
      <c r="A1079" s="6" t="str">
        <f>HYPERLINK(SUBSTITUTE(T(hl_0),"{0}","331332826094654"),hn_0)</f>
        <v>ОВ</v>
      </c>
      <c r="B1079" s="7" t="s">
        <v>263</v>
      </c>
      <c r="C1079" s="8">
        <v>6000</v>
      </c>
      <c r="D1079" s="7" t="s">
        <v>37</v>
      </c>
      <c r="E1079" s="7" t="s">
        <v>195</v>
      </c>
    </row>
    <row r="1080" spans="1:5" ht="12.75">
      <c r="A1080" s="6" t="str">
        <f>HYPERLINK(SUBSTITUTE(T(hl_0),"{0}","331332826056874"),hn_0)</f>
        <v>ОВ</v>
      </c>
      <c r="B1080" s="7" t="s">
        <v>263</v>
      </c>
      <c r="C1080" s="8">
        <v>6000</v>
      </c>
      <c r="D1080" s="7" t="s">
        <v>37</v>
      </c>
      <c r="E1080" s="7" t="s">
        <v>195</v>
      </c>
    </row>
    <row r="1081" spans="1:5" ht="12.75">
      <c r="A1081" s="6" t="str">
        <f>HYPERLINK(SUBSTITUTE(T(hl_0),"{0}","331332826092987"),hn_0)</f>
        <v>ОВ</v>
      </c>
      <c r="B1081" s="7" t="s">
        <v>263</v>
      </c>
      <c r="C1081" s="8">
        <v>6000</v>
      </c>
      <c r="D1081" s="7" t="s">
        <v>37</v>
      </c>
      <c r="E1081" s="7" t="s">
        <v>195</v>
      </c>
    </row>
    <row r="1082" spans="1:5" ht="12.75">
      <c r="A1082" s="6" t="str">
        <f>HYPERLINK(SUBSTITUTE(T(hl_0),"{0}","333332734724979"),hn_0)</f>
        <v>ОВ</v>
      </c>
      <c r="B1082" s="7" t="s">
        <v>263</v>
      </c>
      <c r="C1082" s="8">
        <v>5200</v>
      </c>
      <c r="D1082" s="7" t="s">
        <v>240</v>
      </c>
      <c r="E1082" s="7" t="s">
        <v>198</v>
      </c>
    </row>
    <row r="1083" spans="1:5" ht="12.75">
      <c r="A1083" s="6" t="str">
        <f>HYPERLINK(SUBSTITUTE(T(hl_0),"{0}","333331703039514"),hn_0)</f>
        <v>ОВ</v>
      </c>
      <c r="B1083" s="7" t="s">
        <v>263</v>
      </c>
      <c r="C1083" s="8">
        <v>5200</v>
      </c>
      <c r="D1083" s="7" t="s">
        <v>240</v>
      </c>
      <c r="E1083" s="7" t="s">
        <v>198</v>
      </c>
    </row>
    <row r="1084" spans="1:5" ht="12.75">
      <c r="A1084" s="6" t="str">
        <f>HYPERLINK(SUBSTITUTE(T(hl_0),"{0}","319332676924639"),hn_0)</f>
        <v>ОВ</v>
      </c>
      <c r="B1084" s="7" t="s">
        <v>264</v>
      </c>
      <c r="C1084" s="8">
        <v>5000</v>
      </c>
      <c r="D1084" s="7" t="s">
        <v>14</v>
      </c>
      <c r="E1084" s="7" t="s">
        <v>15</v>
      </c>
    </row>
    <row r="1085" spans="1:5" ht="12.75">
      <c r="A1085" s="6" t="str">
        <f>HYPERLINK(SUBSTITUTE(T(hl_0),"{0}","319332393893240"),hn_0)</f>
        <v>ОВ</v>
      </c>
      <c r="B1085" s="7" t="s">
        <v>264</v>
      </c>
      <c r="C1085" s="8">
        <v>5000</v>
      </c>
      <c r="D1085" s="7" t="s">
        <v>14</v>
      </c>
      <c r="E1085" s="7" t="s">
        <v>15</v>
      </c>
    </row>
    <row r="1086" spans="1:5" ht="12.75">
      <c r="A1086" s="6" t="str">
        <f>HYPERLINK(SUBSTITUTE(T(hl_0),"{0}","319332732486890"),hn_0)</f>
        <v>ОВ</v>
      </c>
      <c r="B1086" s="7" t="s">
        <v>264</v>
      </c>
      <c r="C1086" s="8">
        <v>5200</v>
      </c>
      <c r="D1086" s="7" t="s">
        <v>14</v>
      </c>
      <c r="E1086" s="7" t="s">
        <v>15</v>
      </c>
    </row>
    <row r="1087" spans="1:5" ht="12.75">
      <c r="A1087" s="6" t="str">
        <f>HYPERLINK(SUBSTITUTE(T(hl_0),"{0}","319332556165570"),hn_0)</f>
        <v>ОВ</v>
      </c>
      <c r="B1087" s="7" t="s">
        <v>264</v>
      </c>
      <c r="C1087" s="8">
        <v>6000</v>
      </c>
      <c r="D1087" s="7" t="s">
        <v>14</v>
      </c>
      <c r="E1087" s="7" t="s">
        <v>15</v>
      </c>
    </row>
    <row r="1088" spans="1:5" ht="25.5">
      <c r="A1088" s="6" t="str">
        <f>HYPERLINK(SUBSTITUTE(T(hl_0),"{0}","320332677008711"),hn_0)</f>
        <v>ОВ</v>
      </c>
      <c r="B1088" s="7" t="s">
        <v>264</v>
      </c>
      <c r="C1088" s="8">
        <v>5000</v>
      </c>
      <c r="D1088" s="7" t="s">
        <v>229</v>
      </c>
      <c r="E1088" s="7" t="s">
        <v>17</v>
      </c>
    </row>
    <row r="1089" spans="1:5" ht="25.5">
      <c r="A1089" s="6" t="str">
        <f>HYPERLINK(SUBSTITUTE(T(hl_0),"{0}","320332503080412"),hn_0)</f>
        <v>ОВ</v>
      </c>
      <c r="B1089" s="7" t="s">
        <v>264</v>
      </c>
      <c r="C1089" s="8">
        <v>5000</v>
      </c>
      <c r="D1089" s="7" t="s">
        <v>16</v>
      </c>
      <c r="E1089" s="7" t="s">
        <v>17</v>
      </c>
    </row>
    <row r="1090" spans="1:5" ht="25.5">
      <c r="A1090" s="6" t="str">
        <f>HYPERLINK(SUBSTITUTE(T(hl_0),"{0}","320332503964720"),hn_0)</f>
        <v>ОВ</v>
      </c>
      <c r="B1090" s="7" t="s">
        <v>264</v>
      </c>
      <c r="C1090" s="8">
        <v>7000</v>
      </c>
      <c r="D1090" s="7" t="s">
        <v>16</v>
      </c>
      <c r="E1090" s="7" t="s">
        <v>17</v>
      </c>
    </row>
    <row r="1091" spans="1:5" ht="25.5">
      <c r="A1091" s="6" t="str">
        <f>HYPERLINK(SUBSTITUTE(T(hl_0),"{0}","320332503964763"),hn_0)</f>
        <v>ОВ</v>
      </c>
      <c r="B1091" s="7" t="s">
        <v>264</v>
      </c>
      <c r="C1091" s="8">
        <v>7000</v>
      </c>
      <c r="D1091" s="7" t="s">
        <v>16</v>
      </c>
      <c r="E1091" s="7" t="s">
        <v>17</v>
      </c>
    </row>
    <row r="1092" spans="1:5" ht="25.5">
      <c r="A1092" s="6" t="str">
        <f>HYPERLINK(SUBSTITUTE(T(hl_0),"{0}","320332502935689"),hn_0)</f>
        <v>ОВ</v>
      </c>
      <c r="B1092" s="7" t="s">
        <v>264</v>
      </c>
      <c r="C1092" s="8">
        <v>7000</v>
      </c>
      <c r="D1092" s="7" t="s">
        <v>16</v>
      </c>
      <c r="E1092" s="7" t="s">
        <v>17</v>
      </c>
    </row>
    <row r="1093" spans="1:5" ht="25.5">
      <c r="A1093" s="6" t="str">
        <f>HYPERLINK(SUBSTITUTE(T(hl_0),"{0}","320332503964747"),hn_0)</f>
        <v>ОВ</v>
      </c>
      <c r="B1093" s="7" t="s">
        <v>264</v>
      </c>
      <c r="C1093" s="8">
        <v>7000</v>
      </c>
      <c r="D1093" s="7" t="s">
        <v>16</v>
      </c>
      <c r="E1093" s="7" t="s">
        <v>17</v>
      </c>
    </row>
    <row r="1094" spans="1:5" ht="12.75">
      <c r="A1094" s="6" t="str">
        <f>HYPERLINK(SUBSTITUTE(T(hl_0),"{0}","321332825661874"),hn_0)</f>
        <v>ОВ</v>
      </c>
      <c r="B1094" s="7" t="s">
        <v>264</v>
      </c>
      <c r="C1094" s="8">
        <v>5000</v>
      </c>
      <c r="D1094" s="7" t="s">
        <v>18</v>
      </c>
      <c r="E1094" s="7" t="s">
        <v>19</v>
      </c>
    </row>
    <row r="1095" spans="1:5" ht="12.75">
      <c r="A1095" s="6" t="str">
        <f>HYPERLINK(SUBSTITUTE(T(hl_0),"{0}","321332703795876"),hn_0)</f>
        <v>ОВ</v>
      </c>
      <c r="B1095" s="7" t="s">
        <v>264</v>
      </c>
      <c r="C1095" s="8">
        <v>6000</v>
      </c>
      <c r="D1095" s="7" t="s">
        <v>18</v>
      </c>
      <c r="E1095" s="7" t="s">
        <v>19</v>
      </c>
    </row>
    <row r="1096" spans="1:5" ht="12.75">
      <c r="A1096" s="6" t="str">
        <f>HYPERLINK(SUBSTITUTE(T(hl_0),"{0}","321331700646547"),hn_0)</f>
        <v>ОВ</v>
      </c>
      <c r="B1096" s="7" t="s">
        <v>264</v>
      </c>
      <c r="C1096" s="8">
        <v>6500</v>
      </c>
      <c r="D1096" s="7" t="s">
        <v>18</v>
      </c>
      <c r="E1096" s="7" t="s">
        <v>19</v>
      </c>
    </row>
    <row r="1097" spans="1:5" ht="12.75">
      <c r="A1097" s="6" t="str">
        <f>HYPERLINK(SUBSTITUTE(T(hl_0),"{0}","322332702871313"),hn_0)</f>
        <v>ОВ</v>
      </c>
      <c r="B1097" s="7" t="s">
        <v>264</v>
      </c>
      <c r="C1097" s="8">
        <v>5000</v>
      </c>
      <c r="D1097" s="7" t="s">
        <v>36</v>
      </c>
      <c r="E1097" s="7" t="s">
        <v>47</v>
      </c>
    </row>
    <row r="1098" spans="1:5" ht="12.75">
      <c r="A1098" s="6" t="str">
        <f>HYPERLINK(SUBSTITUTE(T(hl_0),"{0}","322331558265443"),hn_0)</f>
        <v>ОВ</v>
      </c>
      <c r="B1098" s="7" t="s">
        <v>264</v>
      </c>
      <c r="C1098" s="8">
        <v>5000</v>
      </c>
      <c r="D1098" s="7" t="s">
        <v>46</v>
      </c>
      <c r="E1098" s="7" t="s">
        <v>47</v>
      </c>
    </row>
    <row r="1099" spans="1:5" ht="12.75">
      <c r="A1099" s="6" t="str">
        <f>HYPERLINK(SUBSTITUTE(T(hl_0),"{0}","322331534150212"),hn_0)</f>
        <v>ОВ</v>
      </c>
      <c r="B1099" s="7" t="s">
        <v>264</v>
      </c>
      <c r="C1099" s="8">
        <v>5000</v>
      </c>
      <c r="D1099" s="7" t="s">
        <v>265</v>
      </c>
      <c r="E1099" s="7" t="s">
        <v>47</v>
      </c>
    </row>
    <row r="1100" spans="1:5" ht="12.75">
      <c r="A1100" s="6" t="str">
        <f>HYPERLINK(SUBSTITUTE(T(hl_0),"{0}","324332731405385"),hn_0)</f>
        <v>ОВ</v>
      </c>
      <c r="B1100" s="7" t="s">
        <v>264</v>
      </c>
      <c r="C1100" s="8">
        <v>5500</v>
      </c>
      <c r="D1100" s="7" t="s">
        <v>266</v>
      </c>
      <c r="E1100" s="7" t="s">
        <v>190</v>
      </c>
    </row>
    <row r="1101" spans="1:5" ht="12.75">
      <c r="A1101" s="6" t="str">
        <f>HYPERLINK(SUBSTITUTE(T(hl_0),"{0}","324331794770510"),hn_0)</f>
        <v>ОВ</v>
      </c>
      <c r="B1101" s="7" t="s">
        <v>264</v>
      </c>
      <c r="C1101" s="8">
        <v>5000</v>
      </c>
      <c r="D1101" s="7" t="s">
        <v>237</v>
      </c>
      <c r="E1101" s="7" t="s">
        <v>190</v>
      </c>
    </row>
    <row r="1102" spans="1:5" ht="12.75">
      <c r="A1102" s="6" t="str">
        <f>HYPERLINK(SUBSTITUTE(T(hl_0),"{0}","324332393699275"),hn_0)</f>
        <v>ОВ</v>
      </c>
      <c r="B1102" s="7" t="s">
        <v>264</v>
      </c>
      <c r="C1102" s="8">
        <v>5400</v>
      </c>
      <c r="D1102" s="7" t="s">
        <v>237</v>
      </c>
      <c r="E1102" s="7" t="s">
        <v>190</v>
      </c>
    </row>
    <row r="1103" spans="1:5" ht="12.75">
      <c r="A1103" s="6" t="str">
        <f>HYPERLINK(SUBSTITUTE(T(hl_0),"{0}","325332704013654"),hn_0)</f>
        <v>ОВ</v>
      </c>
      <c r="B1103" s="7" t="s">
        <v>264</v>
      </c>
      <c r="C1103" s="8">
        <v>6000</v>
      </c>
      <c r="D1103" s="7" t="s">
        <v>34</v>
      </c>
      <c r="E1103" s="7" t="s">
        <v>27</v>
      </c>
    </row>
    <row r="1104" spans="1:5" ht="12.75">
      <c r="A1104" s="6" t="str">
        <f>HYPERLINK(SUBSTITUTE(T(hl_0),"{0}","325332758593237"),hn_0)</f>
        <v>ОВ</v>
      </c>
      <c r="B1104" s="7" t="s">
        <v>264</v>
      </c>
      <c r="C1104" s="8">
        <v>5000</v>
      </c>
      <c r="D1104" s="7" t="s">
        <v>34</v>
      </c>
      <c r="E1104" s="7" t="s">
        <v>27</v>
      </c>
    </row>
    <row r="1105" spans="1:5" ht="12.75">
      <c r="A1105" s="6" t="str">
        <f>HYPERLINK(SUBSTITUTE(T(hl_0),"{0}","325332392117895"),hn_0)</f>
        <v>ОВ</v>
      </c>
      <c r="B1105" s="7" t="s">
        <v>264</v>
      </c>
      <c r="C1105" s="8">
        <v>7100</v>
      </c>
      <c r="D1105" s="7" t="s">
        <v>34</v>
      </c>
      <c r="E1105" s="7" t="s">
        <v>27</v>
      </c>
    </row>
    <row r="1106" spans="1:5" ht="12.75">
      <c r="A1106" s="6" t="str">
        <f>HYPERLINK(SUBSTITUTE(T(hl_0),"{0}","325331533211049"),hn_0)</f>
        <v>ОВ</v>
      </c>
      <c r="B1106" s="7" t="s">
        <v>264</v>
      </c>
      <c r="C1106" s="8">
        <v>6100</v>
      </c>
      <c r="D1106" s="7" t="s">
        <v>34</v>
      </c>
      <c r="E1106" s="7" t="s">
        <v>27</v>
      </c>
    </row>
    <row r="1107" spans="1:5" ht="12.75">
      <c r="A1107" s="6" t="str">
        <f>HYPERLINK(SUBSTITUTE(T(hl_0),"{0}","325332416199712"),hn_0)</f>
        <v>ОВ</v>
      </c>
      <c r="B1107" s="7" t="s">
        <v>264</v>
      </c>
      <c r="C1107" s="8">
        <v>5000</v>
      </c>
      <c r="D1107" s="7" t="s">
        <v>34</v>
      </c>
      <c r="E1107" s="7" t="s">
        <v>27</v>
      </c>
    </row>
    <row r="1108" spans="1:5" ht="12.75">
      <c r="A1108" s="6" t="str">
        <f>HYPERLINK(SUBSTITUTE(T(hl_0),"{0}","325332369193952"),hn_0)</f>
        <v>ОВ</v>
      </c>
      <c r="B1108" s="7" t="s">
        <v>264</v>
      </c>
      <c r="C1108" s="8">
        <v>7500</v>
      </c>
      <c r="D1108" s="7" t="s">
        <v>267</v>
      </c>
      <c r="E1108" s="7" t="s">
        <v>27</v>
      </c>
    </row>
    <row r="1109" spans="1:5" ht="12.75">
      <c r="A1109" s="6" t="str">
        <f>HYPERLINK(SUBSTITUTE(T(hl_0),"{0}","326331389998221"),hn_0)</f>
        <v>ОВ</v>
      </c>
      <c r="B1109" s="7" t="s">
        <v>264</v>
      </c>
      <c r="C1109" s="8">
        <v>5500</v>
      </c>
      <c r="D1109" s="7" t="s">
        <v>206</v>
      </c>
      <c r="E1109" s="7" t="s">
        <v>40</v>
      </c>
    </row>
    <row r="1110" spans="1:5" ht="12.75">
      <c r="A1110" s="6" t="str">
        <f>HYPERLINK(SUBSTITUTE(T(hl_0),"{0}","326331366523807"),hn_0)</f>
        <v>ОВ</v>
      </c>
      <c r="B1110" s="7" t="s">
        <v>264</v>
      </c>
      <c r="C1110" s="8">
        <v>5500</v>
      </c>
      <c r="D1110" s="7" t="s">
        <v>206</v>
      </c>
      <c r="E1110" s="7" t="s">
        <v>40</v>
      </c>
    </row>
    <row r="1111" spans="1:5" ht="12.75">
      <c r="A1111" s="6" t="str">
        <f>HYPERLINK(SUBSTITUTE(T(hl_0),"{0}","326332053792267"),hn_0)</f>
        <v>ОВ</v>
      </c>
      <c r="B1111" s="7" t="s">
        <v>264</v>
      </c>
      <c r="C1111" s="8">
        <v>6500</v>
      </c>
      <c r="D1111" s="7" t="s">
        <v>268</v>
      </c>
      <c r="E1111" s="7" t="s">
        <v>40</v>
      </c>
    </row>
    <row r="1112" spans="1:5" ht="12.75">
      <c r="A1112" s="6" t="str">
        <f>HYPERLINK(SUBSTITUTE(T(hl_0),"{0}","326331900700532"),hn_0)</f>
        <v>ОВ</v>
      </c>
      <c r="B1112" s="7" t="s">
        <v>264</v>
      </c>
      <c r="C1112" s="8">
        <v>5000</v>
      </c>
      <c r="D1112" s="7" t="s">
        <v>269</v>
      </c>
      <c r="E1112" s="7" t="s">
        <v>40</v>
      </c>
    </row>
    <row r="1113" spans="1:5" ht="12.75">
      <c r="A1113" s="6" t="str">
        <f>HYPERLINK(SUBSTITUTE(T(hl_0),"{0}","328332758015279"),hn_0)</f>
        <v>ОВ</v>
      </c>
      <c r="B1113" s="7" t="s">
        <v>264</v>
      </c>
      <c r="C1113" s="8">
        <v>6000</v>
      </c>
      <c r="D1113" s="7" t="s">
        <v>57</v>
      </c>
      <c r="E1113" s="7" t="s">
        <v>58</v>
      </c>
    </row>
    <row r="1114" spans="1:5" ht="12.75">
      <c r="A1114" s="6" t="str">
        <f>HYPERLINK(SUBSTITUTE(T(hl_0),"{0}","329332826409351"),hn_0)</f>
        <v>ОВ</v>
      </c>
      <c r="B1114" s="7" t="s">
        <v>264</v>
      </c>
      <c r="C1114" s="8">
        <v>7000</v>
      </c>
      <c r="D1114" s="7" t="s">
        <v>42</v>
      </c>
      <c r="E1114" s="7" t="s">
        <v>43</v>
      </c>
    </row>
    <row r="1115" spans="1:5" ht="12.75">
      <c r="A1115" s="6" t="str">
        <f>HYPERLINK(SUBSTITUTE(T(hl_0),"{0}","329332529971886"),hn_0)</f>
        <v>ОВ</v>
      </c>
      <c r="B1115" s="7" t="s">
        <v>264</v>
      </c>
      <c r="C1115" s="8">
        <v>7500</v>
      </c>
      <c r="D1115" s="7" t="s">
        <v>42</v>
      </c>
      <c r="E1115" s="7" t="s">
        <v>43</v>
      </c>
    </row>
    <row r="1116" spans="1:5" ht="12.75">
      <c r="A1116" s="6" t="str">
        <f>HYPERLINK(SUBSTITUTE(T(hl_0),"{0}","330332558054539"),hn_0)</f>
        <v>ОВ</v>
      </c>
      <c r="B1116" s="7" t="s">
        <v>264</v>
      </c>
      <c r="C1116" s="8">
        <v>7000</v>
      </c>
      <c r="D1116" s="7" t="s">
        <v>44</v>
      </c>
      <c r="E1116" s="7" t="s">
        <v>29</v>
      </c>
    </row>
    <row r="1117" spans="1:5" ht="12.75">
      <c r="A1117" s="6" t="str">
        <f>HYPERLINK(SUBSTITUTE(T(hl_0),"{0}","330332558082085"),hn_0)</f>
        <v>ОВ</v>
      </c>
      <c r="B1117" s="7" t="s">
        <v>264</v>
      </c>
      <c r="C1117" s="8">
        <v>7000</v>
      </c>
      <c r="D1117" s="7" t="s">
        <v>44</v>
      </c>
      <c r="E1117" s="7" t="s">
        <v>29</v>
      </c>
    </row>
    <row r="1118" spans="1:5" ht="12.75">
      <c r="A1118" s="6" t="str">
        <f>HYPERLINK(SUBSTITUTE(T(hl_0),"{0}","330327135909141"),hn_0)</f>
        <v>ОВ</v>
      </c>
      <c r="B1118" s="7" t="s">
        <v>264</v>
      </c>
      <c r="C1118" s="8">
        <v>5000</v>
      </c>
      <c r="D1118" s="7" t="s">
        <v>270</v>
      </c>
      <c r="E1118" s="7" t="s">
        <v>29</v>
      </c>
    </row>
    <row r="1119" spans="1:5" ht="12.75">
      <c r="A1119" s="6" t="str">
        <f>HYPERLINK(SUBSTITUTE(T(hl_0),"{0}","330330878887479"),hn_0)</f>
        <v>ОВ</v>
      </c>
      <c r="B1119" s="7" t="s">
        <v>264</v>
      </c>
      <c r="C1119" s="8">
        <v>5000</v>
      </c>
      <c r="D1119" s="7" t="s">
        <v>271</v>
      </c>
      <c r="E1119" s="7" t="s">
        <v>29</v>
      </c>
    </row>
    <row r="1120" spans="1:5" ht="12.75">
      <c r="A1120" s="6" t="str">
        <f>HYPERLINK(SUBSTITUTE(T(hl_0),"{0}","331332701937746"),hn_0)</f>
        <v>ОВ</v>
      </c>
      <c r="B1120" s="7" t="s">
        <v>264</v>
      </c>
      <c r="C1120" s="8">
        <v>6000</v>
      </c>
      <c r="D1120" s="7" t="s">
        <v>272</v>
      </c>
      <c r="E1120" s="7" t="s">
        <v>195</v>
      </c>
    </row>
    <row r="1121" spans="1:5" ht="12.75">
      <c r="A1121" s="6" t="str">
        <f>HYPERLINK(SUBSTITUTE(T(hl_0),"{0}","331332053828065"),hn_0)</f>
        <v>ОВ</v>
      </c>
      <c r="B1121" s="7" t="s">
        <v>264</v>
      </c>
      <c r="C1121" s="8">
        <v>6000</v>
      </c>
      <c r="D1121" s="7" t="s">
        <v>37</v>
      </c>
      <c r="E1121" s="7" t="s">
        <v>195</v>
      </c>
    </row>
    <row r="1122" spans="1:5" ht="12.75">
      <c r="A1122" s="6" t="str">
        <f>HYPERLINK(SUBSTITUTE(T(hl_0),"{0}","332331969735013"),hn_0)</f>
        <v>ОВ</v>
      </c>
      <c r="B1122" s="7" t="s">
        <v>264</v>
      </c>
      <c r="C1122" s="8">
        <v>5000</v>
      </c>
      <c r="D1122" s="7" t="s">
        <v>30</v>
      </c>
      <c r="E1122" s="7" t="s">
        <v>31</v>
      </c>
    </row>
    <row r="1123" spans="1:5" ht="12.75">
      <c r="A1123" s="6" t="str">
        <f>HYPERLINK(SUBSTITUTE(T(hl_0),"{0}","332332251556429"),hn_0)</f>
        <v>ОВ</v>
      </c>
      <c r="B1123" s="7" t="s">
        <v>264</v>
      </c>
      <c r="C1123" s="8">
        <v>7500</v>
      </c>
      <c r="D1123" s="7" t="s">
        <v>30</v>
      </c>
      <c r="E1123" s="7" t="s">
        <v>31</v>
      </c>
    </row>
    <row r="1124" spans="1:5" ht="12.75">
      <c r="A1124" s="6" t="str">
        <f>HYPERLINK(SUBSTITUTE(T(hl_0),"{0}","332328297366196"),hn_0)</f>
        <v>ОВ</v>
      </c>
      <c r="B1124" s="7" t="s">
        <v>264</v>
      </c>
      <c r="C1124" s="8">
        <v>6500</v>
      </c>
      <c r="D1124" s="7" t="s">
        <v>30</v>
      </c>
      <c r="E1124" s="7" t="s">
        <v>31</v>
      </c>
    </row>
    <row r="1125" spans="1:5" ht="12.75">
      <c r="A1125" s="6" t="str">
        <f>HYPERLINK(SUBSTITUTE(T(hl_0),"{0}","333332648957776"),hn_0)</f>
        <v>ОВ</v>
      </c>
      <c r="B1125" s="7" t="s">
        <v>264</v>
      </c>
      <c r="C1125" s="8">
        <v>5200</v>
      </c>
      <c r="D1125" s="7" t="s">
        <v>273</v>
      </c>
      <c r="E1125" s="7" t="s">
        <v>198</v>
      </c>
    </row>
    <row r="1126" spans="1:5" ht="12.75">
      <c r="A1126" s="6" t="str">
        <f>HYPERLINK(SUBSTITUTE(T(hl_0),"{0}","333332649229458"),hn_0)</f>
        <v>ОВ</v>
      </c>
      <c r="B1126" s="7" t="s">
        <v>264</v>
      </c>
      <c r="C1126" s="8">
        <v>5200</v>
      </c>
      <c r="D1126" s="7" t="s">
        <v>274</v>
      </c>
      <c r="E1126" s="7" t="s">
        <v>198</v>
      </c>
    </row>
    <row r="1127" spans="1:5" ht="12.75">
      <c r="A1127" s="6" t="str">
        <f>HYPERLINK(SUBSTITUTE(T(hl_0),"{0}","333332703062497"),hn_0)</f>
        <v>ОВ</v>
      </c>
      <c r="B1127" s="7" t="s">
        <v>264</v>
      </c>
      <c r="C1127" s="8">
        <v>5100</v>
      </c>
      <c r="D1127" s="7" t="s">
        <v>275</v>
      </c>
      <c r="E1127" s="7" t="s">
        <v>198</v>
      </c>
    </row>
    <row r="1128" spans="1:5" ht="12.75">
      <c r="A1128" s="6" t="str">
        <f>HYPERLINK(SUBSTITUTE(T(hl_0),"{0}","333331314742915"),hn_0)</f>
        <v>ОВ</v>
      </c>
      <c r="B1128" s="7" t="s">
        <v>264</v>
      </c>
      <c r="C1128" s="8">
        <v>6000</v>
      </c>
      <c r="D1128" s="7" t="s">
        <v>240</v>
      </c>
      <c r="E1128" s="7" t="s">
        <v>198</v>
      </c>
    </row>
    <row r="1129" spans="1:5" ht="12.75">
      <c r="A1129" s="6" t="str">
        <f>HYPERLINK(SUBSTITUTE(T(hl_0),"{0}","335332729052914"),hn_0)</f>
        <v>ОВ</v>
      </c>
      <c r="B1129" s="7" t="s">
        <v>264</v>
      </c>
      <c r="C1129" s="8">
        <v>5650</v>
      </c>
      <c r="D1129" s="7" t="s">
        <v>276</v>
      </c>
      <c r="E1129" s="7" t="s">
        <v>277</v>
      </c>
    </row>
    <row r="1130" spans="1:5" ht="12.75">
      <c r="A1130" s="6" t="str">
        <f>HYPERLINK(SUBSTITUTE(T(hl_0),"{0}","900332731088847"),hn_0)</f>
        <v>ОВ</v>
      </c>
      <c r="B1130" s="7" t="s">
        <v>264</v>
      </c>
      <c r="C1130" s="8">
        <v>7000</v>
      </c>
      <c r="D1130" s="7" t="s">
        <v>11</v>
      </c>
      <c r="E1130" s="7" t="s">
        <v>20</v>
      </c>
    </row>
    <row r="1131" spans="1:5" ht="12.75">
      <c r="A1131" s="6" t="str">
        <f>HYPERLINK(SUBSTITUTE(T(hl_0),"{0}","900332707283018"),hn_0)</f>
        <v>ОВ</v>
      </c>
      <c r="B1131" s="7" t="s">
        <v>264</v>
      </c>
      <c r="C1131" s="8">
        <v>7000</v>
      </c>
      <c r="D1131" s="7" t="s">
        <v>11</v>
      </c>
      <c r="E1131" s="7" t="s">
        <v>20</v>
      </c>
    </row>
    <row r="1132" spans="1:5" ht="12.75">
      <c r="A1132" s="6" t="str">
        <f>HYPERLINK(SUBSTITUTE(T(hl_0),"{0}","900332707283025"),hn_0)</f>
        <v>ОВ</v>
      </c>
      <c r="B1132" s="7" t="s">
        <v>264</v>
      </c>
      <c r="C1132" s="8">
        <v>7000</v>
      </c>
      <c r="D1132" s="7" t="s">
        <v>11</v>
      </c>
      <c r="E1132" s="7" t="s">
        <v>20</v>
      </c>
    </row>
    <row r="1133" spans="1:5" ht="12.75">
      <c r="A1133" s="6" t="str">
        <f>HYPERLINK(SUBSTITUTE(T(hl_0),"{0}","900332731117967"),hn_0)</f>
        <v>ОВ</v>
      </c>
      <c r="B1133" s="7" t="s">
        <v>264</v>
      </c>
      <c r="C1133" s="8">
        <v>7000</v>
      </c>
      <c r="D1133" s="7" t="s">
        <v>11</v>
      </c>
      <c r="E1133" s="7" t="s">
        <v>20</v>
      </c>
    </row>
    <row r="1134" spans="1:5" ht="12.75">
      <c r="A1134" s="6" t="str">
        <f>HYPERLINK(SUBSTITUTE(T(hl_0),"{0}","900332707214662"),hn_0)</f>
        <v>ОВ</v>
      </c>
      <c r="B1134" s="7" t="s">
        <v>264</v>
      </c>
      <c r="C1134" s="8">
        <v>7000</v>
      </c>
      <c r="D1134" s="7" t="s">
        <v>11</v>
      </c>
      <c r="E1134" s="7" t="s">
        <v>20</v>
      </c>
    </row>
    <row r="1135" spans="1:5" ht="12.75">
      <c r="A1135" s="6" t="str">
        <f>HYPERLINK(SUBSTITUTE(T(hl_0),"{0}","900331997516612"),hn_0)</f>
        <v>ОВ</v>
      </c>
      <c r="B1135" s="7" t="s">
        <v>264</v>
      </c>
      <c r="C1135" s="8">
        <v>6500</v>
      </c>
      <c r="D1135" s="7" t="s">
        <v>11</v>
      </c>
      <c r="E1135" s="7" t="s">
        <v>20</v>
      </c>
    </row>
    <row r="1136" spans="1:5" ht="12.75">
      <c r="A1136" s="6" t="str">
        <f>HYPERLINK(SUBSTITUTE(T(hl_0),"{0}","900332759121123"),hn_0)</f>
        <v>ОВ</v>
      </c>
      <c r="B1136" s="7" t="s">
        <v>264</v>
      </c>
      <c r="C1136" s="8">
        <v>5000</v>
      </c>
      <c r="D1136" s="7" t="s">
        <v>11</v>
      </c>
      <c r="E1136" s="7" t="s">
        <v>20</v>
      </c>
    </row>
    <row r="1137" spans="1:5" ht="12.75">
      <c r="A1137" s="6" t="str">
        <f>HYPERLINK(SUBSTITUTE(T(hl_0),"{0}","900332703938284"),hn_0)</f>
        <v>ОВ</v>
      </c>
      <c r="B1137" s="7" t="s">
        <v>264</v>
      </c>
      <c r="C1137" s="8">
        <v>5000</v>
      </c>
      <c r="D1137" s="7" t="s">
        <v>11</v>
      </c>
      <c r="E1137" s="7" t="s">
        <v>20</v>
      </c>
    </row>
    <row r="1138" spans="1:5" ht="12.75">
      <c r="A1138" s="6" t="str">
        <f>HYPERLINK(SUBSTITUTE(T(hl_0),"{0}","900332731096944"),hn_0)</f>
        <v>ОВ</v>
      </c>
      <c r="B1138" s="7" t="s">
        <v>264</v>
      </c>
      <c r="C1138" s="8">
        <v>5500</v>
      </c>
      <c r="D1138" s="7" t="s">
        <v>11</v>
      </c>
      <c r="E1138" s="7" t="s">
        <v>20</v>
      </c>
    </row>
    <row r="1139" spans="1:5" ht="12.75">
      <c r="A1139" s="6" t="str">
        <f>HYPERLINK(SUBSTITUTE(T(hl_0),"{0}","900332731250520"),hn_0)</f>
        <v>ОВ</v>
      </c>
      <c r="B1139" s="7" t="s">
        <v>264</v>
      </c>
      <c r="C1139" s="8">
        <v>5000</v>
      </c>
      <c r="D1139" s="7" t="s">
        <v>278</v>
      </c>
      <c r="E1139" s="7" t="s">
        <v>20</v>
      </c>
    </row>
    <row r="1140" spans="1:5" ht="12.75">
      <c r="A1140" s="6" t="str">
        <f>HYPERLINK(SUBSTITUTE(T(hl_0),"{0}","900332731078414"),hn_0)</f>
        <v>ОВ</v>
      </c>
      <c r="B1140" s="7" t="s">
        <v>264</v>
      </c>
      <c r="C1140" s="8">
        <v>5500</v>
      </c>
      <c r="D1140" s="7" t="s">
        <v>11</v>
      </c>
      <c r="E1140" s="7" t="s">
        <v>20</v>
      </c>
    </row>
    <row r="1141" spans="1:5" ht="12.75">
      <c r="A1141" s="6" t="str">
        <f>HYPERLINK(SUBSTITUTE(T(hl_0),"{0}","900332341709760"),hn_0)</f>
        <v>ОВ</v>
      </c>
      <c r="B1141" s="7" t="s">
        <v>264</v>
      </c>
      <c r="C1141" s="8">
        <v>7000</v>
      </c>
      <c r="D1141" s="7" t="s">
        <v>245</v>
      </c>
      <c r="E1141" s="7" t="s">
        <v>20</v>
      </c>
    </row>
    <row r="1142" spans="1:5" ht="12.75">
      <c r="A1142" s="6" t="str">
        <f>HYPERLINK(SUBSTITUTE(T(hl_0),"{0}","900332341677339"),hn_0)</f>
        <v>ОВ</v>
      </c>
      <c r="B1142" s="7" t="s">
        <v>264</v>
      </c>
      <c r="C1142" s="8">
        <v>7000</v>
      </c>
      <c r="D1142" s="7" t="s">
        <v>279</v>
      </c>
      <c r="E1142" s="7" t="s">
        <v>20</v>
      </c>
    </row>
    <row r="1143" spans="1:5" ht="12.75">
      <c r="A1143" s="6" t="str">
        <f>HYPERLINK(SUBSTITUTE(T(hl_0),"{0}","900331901482081"),hn_0)</f>
        <v>ОВ</v>
      </c>
      <c r="B1143" s="7" t="s">
        <v>264</v>
      </c>
      <c r="C1143" s="8">
        <v>5000</v>
      </c>
      <c r="D1143" s="7" t="s">
        <v>11</v>
      </c>
      <c r="E1143" s="7" t="s">
        <v>20</v>
      </c>
    </row>
    <row r="1144" spans="1:5" ht="12.75">
      <c r="A1144" s="6" t="str">
        <f>HYPERLINK(SUBSTITUTE(T(hl_0),"{0}","900332343675318"),hn_0)</f>
        <v>ОВ</v>
      </c>
      <c r="B1144" s="7" t="s">
        <v>264</v>
      </c>
      <c r="C1144" s="8">
        <v>6000</v>
      </c>
      <c r="D1144" s="7" t="s">
        <v>11</v>
      </c>
      <c r="E1144" s="7" t="s">
        <v>20</v>
      </c>
    </row>
    <row r="1145" spans="1:5" ht="12.75">
      <c r="A1145" s="6" t="str">
        <f>HYPERLINK(SUBSTITUTE(T(hl_0),"{0}","900331901519007"),hn_0)</f>
        <v>ОВ</v>
      </c>
      <c r="B1145" s="7" t="s">
        <v>264</v>
      </c>
      <c r="C1145" s="8">
        <v>5000</v>
      </c>
      <c r="D1145" s="7" t="s">
        <v>11</v>
      </c>
      <c r="E1145" s="7" t="s">
        <v>20</v>
      </c>
    </row>
    <row r="1146" spans="1:5" ht="12.75">
      <c r="A1146" s="6" t="str">
        <f>HYPERLINK(SUBSTITUTE(T(hl_0),"{0}","900327860559801"),hn_0)</f>
        <v>ОВ</v>
      </c>
      <c r="B1146" s="7" t="s">
        <v>264</v>
      </c>
      <c r="C1146" s="8">
        <v>6500</v>
      </c>
      <c r="D1146" s="7" t="s">
        <v>11</v>
      </c>
      <c r="E1146" s="7" t="s">
        <v>20</v>
      </c>
    </row>
    <row r="1147" spans="1:5" ht="12.75">
      <c r="A1147" s="6" t="str">
        <f>HYPERLINK(SUBSTITUTE(T(hl_0),"{0}","326330494914021"),hn_0)</f>
        <v>ОВ</v>
      </c>
      <c r="B1147" s="7" t="s">
        <v>280</v>
      </c>
      <c r="C1147" s="8">
        <v>7000</v>
      </c>
      <c r="D1147" s="7" t="s">
        <v>281</v>
      </c>
      <c r="E1147" s="7" t="s">
        <v>40</v>
      </c>
    </row>
    <row r="1148" spans="1:5" ht="12.75">
      <c r="A1148" s="6" t="str">
        <f>HYPERLINK(SUBSTITUTE(T(hl_0),"{0}","321328346116514"),hn_0)</f>
        <v>ОВ</v>
      </c>
      <c r="B1148" s="7" t="s">
        <v>282</v>
      </c>
      <c r="C1148" s="8">
        <v>8000</v>
      </c>
      <c r="D1148" s="7" t="s">
        <v>283</v>
      </c>
      <c r="E1148" s="7" t="s">
        <v>19</v>
      </c>
    </row>
    <row r="1149" spans="1:5" ht="12.75">
      <c r="A1149" s="6" t="str">
        <f>HYPERLINK(SUBSTITUTE(T(hl_0),"{0}","331332733869716"),hn_0)</f>
        <v>ОВ</v>
      </c>
      <c r="B1149" s="7" t="s">
        <v>284</v>
      </c>
      <c r="C1149" s="8">
        <v>5000</v>
      </c>
      <c r="D1149" s="7" t="s">
        <v>285</v>
      </c>
      <c r="E1149" s="7" t="s">
        <v>195</v>
      </c>
    </row>
    <row r="1150" spans="1:5" ht="12.75">
      <c r="A1150" s="6" t="str">
        <f>HYPERLINK(SUBSTITUTE(T(hl_0),"{0}","331332733869716"),hn_0)</f>
        <v>ОВ</v>
      </c>
      <c r="B1150" s="7" t="s">
        <v>284</v>
      </c>
      <c r="C1150" s="8">
        <v>5000</v>
      </c>
      <c r="D1150" s="7" t="s">
        <v>285</v>
      </c>
      <c r="E1150" s="7" t="s">
        <v>195</v>
      </c>
    </row>
    <row r="1151" spans="1:5" ht="12.75">
      <c r="A1151" s="6" t="str">
        <f>HYPERLINK(SUBSTITUTE(T(hl_0),"{0}","324331624806878"),hn_0)</f>
        <v>ОВ</v>
      </c>
      <c r="B1151" s="7" t="s">
        <v>286</v>
      </c>
      <c r="C1151" s="8">
        <v>6300</v>
      </c>
      <c r="D1151" s="7" t="s">
        <v>237</v>
      </c>
      <c r="E1151" s="7" t="s">
        <v>190</v>
      </c>
    </row>
    <row r="1152" spans="1:5" ht="12.75">
      <c r="A1152" s="6" t="str">
        <f>HYPERLINK(SUBSTITUTE(T(hl_0),"{0}","324331624797970"),hn_0)</f>
        <v>ОВ</v>
      </c>
      <c r="B1152" s="7" t="s">
        <v>286</v>
      </c>
      <c r="C1152" s="8">
        <v>6300</v>
      </c>
      <c r="D1152" s="7" t="s">
        <v>237</v>
      </c>
      <c r="E1152" s="7" t="s">
        <v>190</v>
      </c>
    </row>
    <row r="1153" spans="1:5" ht="12.75">
      <c r="A1153" s="6" t="str">
        <f>HYPERLINK(SUBSTITUTE(T(hl_0),"{0}","329332583288254"),hn_0)</f>
        <v>ОВ</v>
      </c>
      <c r="B1153" s="7" t="s">
        <v>287</v>
      </c>
      <c r="C1153" s="8">
        <v>8000</v>
      </c>
      <c r="D1153" s="7" t="s">
        <v>42</v>
      </c>
      <c r="E1153" s="7" t="s">
        <v>43</v>
      </c>
    </row>
    <row r="1154" spans="1:5" ht="12.75">
      <c r="A1154" s="6" t="str">
        <f>HYPERLINK(SUBSTITUTE(T(hl_0),"{0}","334328110547290"),hn_0)</f>
        <v>ОВ</v>
      </c>
      <c r="B1154" s="7" t="s">
        <v>287</v>
      </c>
      <c r="C1154" s="8">
        <v>6000</v>
      </c>
      <c r="D1154" s="7" t="s">
        <v>208</v>
      </c>
      <c r="E1154" s="7" t="s">
        <v>209</v>
      </c>
    </row>
    <row r="1155" spans="1:5" ht="12.75">
      <c r="A1155" s="6" t="str">
        <f>HYPERLINK(SUBSTITUTE(T(hl_0),"{0}","900331560826399"),hn_0)</f>
        <v>ОВ</v>
      </c>
      <c r="B1155" s="7" t="s">
        <v>288</v>
      </c>
      <c r="C1155" s="8">
        <v>8000</v>
      </c>
      <c r="D1155" s="7" t="s">
        <v>11</v>
      </c>
      <c r="E1155" s="7" t="s">
        <v>20</v>
      </c>
    </row>
    <row r="1156" spans="1:5" ht="12.75">
      <c r="A1156" s="6" t="str">
        <f>HYPERLINK(SUBSTITUTE(T(hl_0),"{0}","321332649190060"),hn_0)</f>
        <v>ОВ</v>
      </c>
      <c r="B1156" s="7" t="s">
        <v>289</v>
      </c>
      <c r="C1156" s="8">
        <v>6000</v>
      </c>
      <c r="D1156" s="7" t="s">
        <v>18</v>
      </c>
      <c r="E1156" s="7" t="s">
        <v>19</v>
      </c>
    </row>
    <row r="1157" spans="1:5" ht="12.75">
      <c r="A1157" s="6" t="str">
        <f>HYPERLINK(SUBSTITUTE(T(hl_0),"{0}","900331532794563"),hn_0)</f>
        <v>ОВ</v>
      </c>
      <c r="B1157" s="7" t="s">
        <v>290</v>
      </c>
      <c r="C1157" s="8">
        <v>10000</v>
      </c>
      <c r="D1157" s="7" t="s">
        <v>11</v>
      </c>
      <c r="E1157" s="7" t="s">
        <v>20</v>
      </c>
    </row>
    <row r="1158" spans="1:5" ht="12.75">
      <c r="A1158" s="6" t="str">
        <f>HYPERLINK(SUBSTITUTE(T(hl_0),"{0}","900332649530123"),hn_0)</f>
        <v>ОВ</v>
      </c>
      <c r="B1158" s="7" t="s">
        <v>290</v>
      </c>
      <c r="C1158" s="8">
        <v>7000</v>
      </c>
      <c r="D1158" s="7" t="s">
        <v>11</v>
      </c>
      <c r="E1158" s="7" t="s">
        <v>20</v>
      </c>
    </row>
    <row r="1159" spans="1:5" ht="12.75">
      <c r="A1159" s="6" t="str">
        <f>HYPERLINK(SUBSTITUTE(T(hl_0),"{0}","900331562621884"),hn_0)</f>
        <v>ОВ</v>
      </c>
      <c r="B1159" s="7" t="s">
        <v>290</v>
      </c>
      <c r="C1159" s="8">
        <v>8577</v>
      </c>
      <c r="D1159" s="7" t="s">
        <v>11</v>
      </c>
      <c r="E1159" s="7" t="s">
        <v>20</v>
      </c>
    </row>
    <row r="1160" spans="1:5" ht="12.75">
      <c r="A1160" s="6" t="str">
        <f>HYPERLINK(SUBSTITUTE(T(hl_0),"{0}","900325181360495"),hn_0)</f>
        <v>ОВ</v>
      </c>
      <c r="B1160" s="7" t="s">
        <v>290</v>
      </c>
      <c r="C1160" s="8">
        <v>5500</v>
      </c>
      <c r="D1160" s="7" t="s">
        <v>11</v>
      </c>
      <c r="E1160" s="7" t="s">
        <v>20</v>
      </c>
    </row>
    <row r="1161" spans="1:5" ht="12.75">
      <c r="A1161" s="6" t="str">
        <f>HYPERLINK(SUBSTITUTE(T(hl_0),"{0}","324331725623401"),hn_0)</f>
        <v>ОВ</v>
      </c>
      <c r="B1161" s="7" t="s">
        <v>291</v>
      </c>
      <c r="C1161" s="8">
        <v>5300</v>
      </c>
      <c r="D1161" s="7" t="s">
        <v>266</v>
      </c>
      <c r="E1161" s="7" t="s">
        <v>190</v>
      </c>
    </row>
    <row r="1162" spans="1:5" ht="12.75">
      <c r="A1162" s="6" t="str">
        <f>HYPERLINK(SUBSTITUTE(T(hl_0),"{0}","327332318292287"),hn_0)</f>
        <v>ОВ</v>
      </c>
      <c r="B1162" s="7" t="s">
        <v>292</v>
      </c>
      <c r="C1162" s="8">
        <v>8000</v>
      </c>
      <c r="D1162" s="7" t="s">
        <v>41</v>
      </c>
      <c r="E1162" s="7" t="s">
        <v>12</v>
      </c>
    </row>
    <row r="1163" spans="1:5" ht="12.75">
      <c r="A1163" s="6" t="str">
        <f>HYPERLINK(SUBSTITUTE(T(hl_0),"{0}","332329115982322"),hn_0)</f>
        <v>ОВ</v>
      </c>
      <c r="B1163" s="7" t="s">
        <v>293</v>
      </c>
      <c r="C1163" s="8">
        <v>6000</v>
      </c>
      <c r="D1163" s="7" t="s">
        <v>30</v>
      </c>
      <c r="E1163" s="7" t="s">
        <v>31</v>
      </c>
    </row>
    <row r="1164" spans="1:5" ht="25.5">
      <c r="A1164" s="6" t="str">
        <f>HYPERLINK(SUBSTITUTE(T(hl_0),"{0}","319330166252086"),hn_0)</f>
        <v>ОВ</v>
      </c>
      <c r="B1164" s="7" t="s">
        <v>294</v>
      </c>
      <c r="C1164" s="8">
        <v>5600</v>
      </c>
      <c r="D1164" s="7" t="s">
        <v>14</v>
      </c>
      <c r="E1164" s="7" t="s">
        <v>15</v>
      </c>
    </row>
    <row r="1165" spans="1:5" ht="25.5">
      <c r="A1165" s="6" t="str">
        <f>HYPERLINK(SUBSTITUTE(T(hl_0),"{0}","900331562090082"),hn_0)</f>
        <v>ОВ</v>
      </c>
      <c r="B1165" s="7" t="s">
        <v>295</v>
      </c>
      <c r="C1165" s="8">
        <v>12665</v>
      </c>
      <c r="D1165" s="7" t="s">
        <v>11</v>
      </c>
      <c r="E1165" s="7" t="s">
        <v>20</v>
      </c>
    </row>
    <row r="1166" spans="1:5" ht="25.5">
      <c r="A1166" s="6" t="str">
        <f>HYPERLINK(SUBSTITUTE(T(hl_0),"{0}","900331562090089"),hn_0)</f>
        <v>ОВ</v>
      </c>
      <c r="B1166" s="7" t="s">
        <v>295</v>
      </c>
      <c r="C1166" s="8">
        <v>12665</v>
      </c>
      <c r="D1166" s="7" t="s">
        <v>11</v>
      </c>
      <c r="E1166" s="7" t="s">
        <v>20</v>
      </c>
    </row>
    <row r="1167" spans="1:5" ht="25.5">
      <c r="A1167" s="6" t="str">
        <f>HYPERLINK(SUBSTITUTE(T(hl_0),"{0}","900331562090096"),hn_0)</f>
        <v>ОВ</v>
      </c>
      <c r="B1167" s="7" t="s">
        <v>295</v>
      </c>
      <c r="C1167" s="8">
        <v>12665</v>
      </c>
      <c r="D1167" s="7" t="s">
        <v>11</v>
      </c>
      <c r="E1167" s="7" t="s">
        <v>20</v>
      </c>
    </row>
    <row r="1168" spans="1:5" ht="25.5">
      <c r="A1168" s="6" t="str">
        <f>HYPERLINK(SUBSTITUTE(T(hl_0),"{0}","900332417980074"),hn_0)</f>
        <v>ОВ</v>
      </c>
      <c r="B1168" s="7" t="s">
        <v>295</v>
      </c>
      <c r="C1168" s="8">
        <v>10000</v>
      </c>
      <c r="D1168" s="7" t="s">
        <v>11</v>
      </c>
      <c r="E1168" s="7" t="s">
        <v>20</v>
      </c>
    </row>
    <row r="1169" spans="1:5" ht="25.5">
      <c r="A1169" s="6" t="str">
        <f>HYPERLINK(SUBSTITUTE(T(hl_0),"{0}","900332146308938"),hn_0)</f>
        <v>ОВ</v>
      </c>
      <c r="B1169" s="7" t="s">
        <v>295</v>
      </c>
      <c r="C1169" s="8">
        <v>8593</v>
      </c>
      <c r="D1169" s="7" t="s">
        <v>11</v>
      </c>
      <c r="E1169" s="7" t="s">
        <v>20</v>
      </c>
    </row>
    <row r="1170" spans="1:5" ht="25.5">
      <c r="A1170" s="6" t="str">
        <f>HYPERLINK(SUBSTITUTE(T(hl_0),"{0}","900331900545537"),hn_0)</f>
        <v>ОВ</v>
      </c>
      <c r="B1170" s="7" t="s">
        <v>295</v>
      </c>
      <c r="C1170" s="8">
        <v>6000</v>
      </c>
      <c r="D1170" s="7" t="s">
        <v>11</v>
      </c>
      <c r="E1170" s="7" t="s">
        <v>20</v>
      </c>
    </row>
    <row r="1171" spans="1:5" ht="25.5">
      <c r="A1171" s="6" t="str">
        <f>HYPERLINK(SUBSTITUTE(T(hl_0),"{0}","900331900545537"),hn_0)</f>
        <v>ОВ</v>
      </c>
      <c r="B1171" s="7" t="s">
        <v>295</v>
      </c>
      <c r="C1171" s="8">
        <v>6000</v>
      </c>
      <c r="D1171" s="7" t="s">
        <v>11</v>
      </c>
      <c r="E1171" s="7" t="s">
        <v>20</v>
      </c>
    </row>
    <row r="1172" spans="1:5" ht="25.5">
      <c r="A1172" s="6" t="str">
        <f>HYPERLINK(SUBSTITUTE(T(hl_0),"{0}","900331900545537"),hn_0)</f>
        <v>ОВ</v>
      </c>
      <c r="B1172" s="7" t="s">
        <v>295</v>
      </c>
      <c r="C1172" s="8">
        <v>6000</v>
      </c>
      <c r="D1172" s="7" t="s">
        <v>11</v>
      </c>
      <c r="E1172" s="7" t="s">
        <v>20</v>
      </c>
    </row>
    <row r="1173" spans="1:5" ht="12.75">
      <c r="A1173" s="6" t="str">
        <f>HYPERLINK(SUBSTITUTE(T(hl_0),"{0}","319332224183477"),hn_0)</f>
        <v>ОВ</v>
      </c>
      <c r="B1173" s="7" t="s">
        <v>296</v>
      </c>
      <c r="C1173" s="8">
        <v>5200</v>
      </c>
      <c r="D1173" s="7" t="s">
        <v>14</v>
      </c>
      <c r="E1173" s="7" t="s">
        <v>15</v>
      </c>
    </row>
    <row r="1174" spans="1:5" ht="25.5">
      <c r="A1174" s="6" t="str">
        <f>HYPERLINK(SUBSTITUTE(T(hl_0),"{0}","900331900381749"),hn_0)</f>
        <v>ОВ</v>
      </c>
      <c r="B1174" s="7" t="s">
        <v>297</v>
      </c>
      <c r="C1174" s="8">
        <v>6000</v>
      </c>
      <c r="D1174" s="7" t="s">
        <v>11</v>
      </c>
      <c r="E1174" s="7" t="s">
        <v>20</v>
      </c>
    </row>
    <row r="1175" spans="1:5" ht="25.5">
      <c r="A1175" s="6" t="str">
        <f>HYPERLINK(SUBSTITUTE(T(hl_0),"{0}","900331900381749"),hn_0)</f>
        <v>ОВ</v>
      </c>
      <c r="B1175" s="7" t="s">
        <v>297</v>
      </c>
      <c r="C1175" s="8">
        <v>6000</v>
      </c>
      <c r="D1175" s="7" t="s">
        <v>11</v>
      </c>
      <c r="E1175" s="7" t="s">
        <v>20</v>
      </c>
    </row>
    <row r="1176" spans="1:5" ht="25.5">
      <c r="A1176" s="6" t="str">
        <f>HYPERLINK(SUBSTITUTE(T(hl_0),"{0}","900331900381749"),hn_0)</f>
        <v>ОВ</v>
      </c>
      <c r="B1176" s="7" t="s">
        <v>297</v>
      </c>
      <c r="C1176" s="8">
        <v>6000</v>
      </c>
      <c r="D1176" s="7" t="s">
        <v>11</v>
      </c>
      <c r="E1176" s="7" t="s">
        <v>20</v>
      </c>
    </row>
    <row r="1177" spans="1:5" ht="25.5">
      <c r="A1177" s="6" t="str">
        <f>HYPERLINK(SUBSTITUTE(T(hl_0),"{0}","900332146465207"),hn_0)</f>
        <v>ОВ</v>
      </c>
      <c r="B1177" s="7" t="s">
        <v>297</v>
      </c>
      <c r="C1177" s="8">
        <v>7308</v>
      </c>
      <c r="D1177" s="7" t="s">
        <v>44</v>
      </c>
      <c r="E1177" s="7" t="s">
        <v>20</v>
      </c>
    </row>
    <row r="1178" spans="1:5" ht="25.5">
      <c r="A1178" s="6" t="str">
        <f>HYPERLINK(SUBSTITUTE(T(hl_0),"{0}","900332146288389"),hn_0)</f>
        <v>ОВ</v>
      </c>
      <c r="B1178" s="7" t="s">
        <v>297</v>
      </c>
      <c r="C1178" s="8">
        <v>7308</v>
      </c>
      <c r="D1178" s="7" t="s">
        <v>11</v>
      </c>
      <c r="E1178" s="7" t="s">
        <v>20</v>
      </c>
    </row>
    <row r="1179" spans="1:5" ht="12.75">
      <c r="A1179" s="6" t="str">
        <f>HYPERLINK(SUBSTITUTE(T(hl_0),"{0}","900331562113054"),hn_0)</f>
        <v>ОВ</v>
      </c>
      <c r="B1179" s="7" t="s">
        <v>298</v>
      </c>
      <c r="C1179" s="8">
        <v>9031</v>
      </c>
      <c r="D1179" s="7" t="s">
        <v>11</v>
      </c>
      <c r="E1179" s="7" t="s">
        <v>20</v>
      </c>
    </row>
    <row r="1180" spans="1:5" ht="12.75">
      <c r="A1180" s="6" t="str">
        <f>HYPERLINK(SUBSTITUTE(T(hl_0),"{0}","900332146243913"),hn_0)</f>
        <v>ОВ</v>
      </c>
      <c r="B1180" s="7" t="s">
        <v>298</v>
      </c>
      <c r="C1180" s="8">
        <v>6941.77</v>
      </c>
      <c r="D1180" s="7" t="s">
        <v>208</v>
      </c>
      <c r="E1180" s="7" t="s">
        <v>20</v>
      </c>
    </row>
    <row r="1181" spans="1:5" ht="12.75">
      <c r="A1181" s="6" t="str">
        <f>HYPERLINK(SUBSTITUTE(T(hl_0),"{0}","900332146225803"),hn_0)</f>
        <v>ОВ</v>
      </c>
      <c r="B1181" s="7" t="s">
        <v>298</v>
      </c>
      <c r="C1181" s="8">
        <v>6941.77</v>
      </c>
      <c r="D1181" s="7" t="s">
        <v>206</v>
      </c>
      <c r="E1181" s="7" t="s">
        <v>20</v>
      </c>
    </row>
    <row r="1182" spans="1:5" ht="12.75">
      <c r="A1182" s="6" t="str">
        <f>HYPERLINK(SUBSTITUTE(T(hl_0),"{0}","900332145684696"),hn_0)</f>
        <v>ОВ</v>
      </c>
      <c r="B1182" s="7" t="s">
        <v>298</v>
      </c>
      <c r="C1182" s="8">
        <v>6942.77</v>
      </c>
      <c r="D1182" s="7" t="s">
        <v>240</v>
      </c>
      <c r="E1182" s="7" t="s">
        <v>20</v>
      </c>
    </row>
    <row r="1183" spans="1:5" ht="12.75">
      <c r="A1183" s="6" t="str">
        <f>HYPERLINK(SUBSTITUTE(T(hl_0),"{0}","900332146228894"),hn_0)</f>
        <v>ОВ</v>
      </c>
      <c r="B1183" s="7" t="s">
        <v>298</v>
      </c>
      <c r="C1183" s="8">
        <v>6941.77</v>
      </c>
      <c r="D1183" s="7" t="s">
        <v>42</v>
      </c>
      <c r="E1183" s="7" t="s">
        <v>20</v>
      </c>
    </row>
    <row r="1184" spans="1:5" ht="12.75">
      <c r="A1184" s="6" t="str">
        <f>HYPERLINK(SUBSTITUTE(T(hl_0),"{0}","900332146231149"),hn_0)</f>
        <v>ОВ</v>
      </c>
      <c r="B1184" s="7" t="s">
        <v>298</v>
      </c>
      <c r="C1184" s="8">
        <v>6941.77</v>
      </c>
      <c r="D1184" s="7" t="s">
        <v>44</v>
      </c>
      <c r="E1184" s="7" t="s">
        <v>20</v>
      </c>
    </row>
    <row r="1185" spans="1:5" ht="12.75">
      <c r="A1185" s="6" t="str">
        <f>HYPERLINK(SUBSTITUTE(T(hl_0),"{0}","900332146234629"),hn_0)</f>
        <v>ОВ</v>
      </c>
      <c r="B1185" s="7" t="s">
        <v>298</v>
      </c>
      <c r="C1185" s="8">
        <v>6941.77</v>
      </c>
      <c r="D1185" s="7" t="s">
        <v>37</v>
      </c>
      <c r="E1185" s="7" t="s">
        <v>20</v>
      </c>
    </row>
    <row r="1186" spans="1:5" ht="12.75">
      <c r="A1186" s="6" t="str">
        <f>HYPERLINK(SUBSTITUTE(T(hl_0),"{0}","900332146220946"),hn_0)</f>
        <v>ОВ</v>
      </c>
      <c r="B1186" s="7" t="s">
        <v>298</v>
      </c>
      <c r="C1186" s="8">
        <v>6941.77</v>
      </c>
      <c r="D1186" s="7" t="s">
        <v>34</v>
      </c>
      <c r="E1186" s="7" t="s">
        <v>20</v>
      </c>
    </row>
    <row r="1187" spans="1:5" ht="25.5">
      <c r="A1187" s="6" t="str">
        <f>HYPERLINK(SUBSTITUTE(T(hl_0),"{0}","900332146319251"),hn_0)</f>
        <v>ОВ</v>
      </c>
      <c r="B1187" s="7" t="s">
        <v>299</v>
      </c>
      <c r="C1187" s="8">
        <v>6888</v>
      </c>
      <c r="D1187" s="7" t="s">
        <v>11</v>
      </c>
      <c r="E1187" s="7" t="s">
        <v>20</v>
      </c>
    </row>
    <row r="1188" spans="1:5" ht="25.5">
      <c r="A1188" s="6" t="str">
        <f>HYPERLINK(SUBSTITUTE(T(hl_0),"{0}","900332146330596"),hn_0)</f>
        <v>ОВ</v>
      </c>
      <c r="B1188" s="7" t="s">
        <v>299</v>
      </c>
      <c r="C1188" s="8">
        <v>6888</v>
      </c>
      <c r="D1188" s="7" t="s">
        <v>11</v>
      </c>
      <c r="E1188" s="7" t="s">
        <v>20</v>
      </c>
    </row>
    <row r="1189" spans="1:5" ht="25.5">
      <c r="A1189" s="6" t="str">
        <f>HYPERLINK(SUBSTITUTE(T(hl_0),"{0}","321326065653952"),hn_0)</f>
        <v>ОВ</v>
      </c>
      <c r="B1189" s="7" t="s">
        <v>300</v>
      </c>
      <c r="C1189" s="8">
        <v>7000</v>
      </c>
      <c r="D1189" s="7" t="s">
        <v>18</v>
      </c>
      <c r="E1189" s="7" t="s">
        <v>19</v>
      </c>
    </row>
    <row r="1190" spans="1:5" ht="25.5">
      <c r="A1190" s="6" t="str">
        <f>HYPERLINK(SUBSTITUTE(T(hl_0),"{0}","321332762077443"),hn_0)</f>
        <v>ОВ</v>
      </c>
      <c r="B1190" s="7" t="s">
        <v>300</v>
      </c>
      <c r="C1190" s="8">
        <v>10000</v>
      </c>
      <c r="D1190" s="7" t="s">
        <v>18</v>
      </c>
      <c r="E1190" s="7" t="s">
        <v>19</v>
      </c>
    </row>
    <row r="1191" spans="1:5" ht="25.5">
      <c r="A1191" s="6" t="str">
        <f>HYPERLINK(SUBSTITUTE(T(hl_0),"{0}","321328500355507"),hn_0)</f>
        <v>ОВ</v>
      </c>
      <c r="B1191" s="7" t="s">
        <v>300</v>
      </c>
      <c r="C1191" s="8">
        <v>8000</v>
      </c>
      <c r="D1191" s="7" t="s">
        <v>283</v>
      </c>
      <c r="E1191" s="7" t="s">
        <v>19</v>
      </c>
    </row>
    <row r="1192" spans="1:5" ht="25.5">
      <c r="A1192" s="6" t="str">
        <f>HYPERLINK(SUBSTITUTE(T(hl_0),"{0}","327332558053714"),hn_0)</f>
        <v>ОВ</v>
      </c>
      <c r="B1192" s="7" t="s">
        <v>300</v>
      </c>
      <c r="C1192" s="8">
        <v>15000</v>
      </c>
      <c r="D1192" s="7" t="s">
        <v>11</v>
      </c>
      <c r="E1192" s="7" t="s">
        <v>12</v>
      </c>
    </row>
    <row r="1193" spans="1:5" ht="25.5">
      <c r="A1193" s="6" t="str">
        <f>HYPERLINK(SUBSTITUTE(T(hl_0),"{0}","327332558055760"),hn_0)</f>
        <v>ОВ</v>
      </c>
      <c r="B1193" s="7" t="s">
        <v>300</v>
      </c>
      <c r="C1193" s="8">
        <v>15000</v>
      </c>
      <c r="D1193" s="7" t="s">
        <v>11</v>
      </c>
      <c r="E1193" s="7" t="s">
        <v>12</v>
      </c>
    </row>
    <row r="1194" spans="1:5" ht="25.5">
      <c r="A1194" s="6" t="str">
        <f>HYPERLINK(SUBSTITUTE(T(hl_0),"{0}","330331365604656"),hn_0)</f>
        <v>ОВ</v>
      </c>
      <c r="B1194" s="7" t="s">
        <v>300</v>
      </c>
      <c r="C1194" s="8">
        <v>5000</v>
      </c>
      <c r="D1194" s="7" t="s">
        <v>68</v>
      </c>
      <c r="E1194" s="7" t="s">
        <v>29</v>
      </c>
    </row>
    <row r="1195" spans="1:5" ht="25.5">
      <c r="A1195" s="6" t="str">
        <f>HYPERLINK(SUBSTITUTE(T(hl_0),"{0}","330331365591125"),hn_0)</f>
        <v>ОВ</v>
      </c>
      <c r="B1195" s="7" t="s">
        <v>300</v>
      </c>
      <c r="C1195" s="8">
        <v>5000</v>
      </c>
      <c r="D1195" s="7" t="s">
        <v>44</v>
      </c>
      <c r="E1195" s="7" t="s">
        <v>29</v>
      </c>
    </row>
    <row r="1196" spans="1:5" ht="25.5">
      <c r="A1196" s="6" t="str">
        <f>HYPERLINK(SUBSTITUTE(T(hl_0),"{0}","330331365568901"),hn_0)</f>
        <v>ОВ</v>
      </c>
      <c r="B1196" s="7" t="s">
        <v>300</v>
      </c>
      <c r="C1196" s="8">
        <v>5000</v>
      </c>
      <c r="D1196" s="7" t="s">
        <v>44</v>
      </c>
      <c r="E1196" s="7" t="s">
        <v>29</v>
      </c>
    </row>
    <row r="1197" spans="1:5" ht="25.5">
      <c r="A1197" s="6" t="str">
        <f>HYPERLINK(SUBSTITUTE(T(hl_0),"{0}","330331365594781"),hn_0)</f>
        <v>ОВ</v>
      </c>
      <c r="B1197" s="7" t="s">
        <v>300</v>
      </c>
      <c r="C1197" s="8">
        <v>5000</v>
      </c>
      <c r="D1197" s="7" t="s">
        <v>68</v>
      </c>
      <c r="E1197" s="7" t="s">
        <v>29</v>
      </c>
    </row>
    <row r="1198" spans="1:5" ht="25.5">
      <c r="A1198" s="6" t="str">
        <f>HYPERLINK(SUBSTITUTE(T(hl_0),"{0}","330327463702224"),hn_0)</f>
        <v>ОВ</v>
      </c>
      <c r="B1198" s="7" t="s">
        <v>300</v>
      </c>
      <c r="C1198" s="8">
        <v>5000</v>
      </c>
      <c r="D1198" s="7" t="s">
        <v>44</v>
      </c>
      <c r="E1198" s="7" t="s">
        <v>29</v>
      </c>
    </row>
    <row r="1199" spans="1:5" ht="25.5">
      <c r="A1199" s="6" t="str">
        <f>HYPERLINK(SUBSTITUTE(T(hl_0),"{0}","332329165774402"),hn_0)</f>
        <v>ОВ</v>
      </c>
      <c r="B1199" s="7" t="s">
        <v>300</v>
      </c>
      <c r="C1199" s="8">
        <v>6000</v>
      </c>
      <c r="D1199" s="7" t="s">
        <v>30</v>
      </c>
      <c r="E1199" s="7" t="s">
        <v>31</v>
      </c>
    </row>
    <row r="1200" spans="1:5" ht="25.5">
      <c r="A1200" s="6" t="str">
        <f>HYPERLINK(SUBSTITUTE(T(hl_0),"{0}","900332825393617"),hn_0)</f>
        <v>ОВ</v>
      </c>
      <c r="B1200" s="7" t="s">
        <v>300</v>
      </c>
      <c r="C1200" s="8">
        <v>5000</v>
      </c>
      <c r="D1200" s="7" t="s">
        <v>11</v>
      </c>
      <c r="E1200" s="7" t="s">
        <v>20</v>
      </c>
    </row>
    <row r="1201" spans="1:5" ht="25.5">
      <c r="A1201" s="6" t="str">
        <f>HYPERLINK(SUBSTITUTE(T(hl_0),"{0}","900332705894647"),hn_0)</f>
        <v>ОВ</v>
      </c>
      <c r="B1201" s="7" t="s">
        <v>300</v>
      </c>
      <c r="C1201" s="8">
        <v>9000</v>
      </c>
      <c r="D1201" s="7" t="s">
        <v>11</v>
      </c>
      <c r="E1201" s="7" t="s">
        <v>20</v>
      </c>
    </row>
    <row r="1202" spans="1:5" ht="25.5">
      <c r="A1202" s="6" t="str">
        <f>HYPERLINK(SUBSTITUTE(T(hl_0),"{0}","900332705879985"),hn_0)</f>
        <v>ОВ</v>
      </c>
      <c r="B1202" s="7" t="s">
        <v>300</v>
      </c>
      <c r="C1202" s="8">
        <v>9000</v>
      </c>
      <c r="D1202" s="7" t="s">
        <v>11</v>
      </c>
      <c r="E1202" s="7" t="s">
        <v>20</v>
      </c>
    </row>
    <row r="1203" spans="1:5" ht="25.5">
      <c r="A1203" s="6" t="str">
        <f>HYPERLINK(SUBSTITUTE(T(hl_0),"{0}","900331676048590"),hn_0)</f>
        <v>ОВ</v>
      </c>
      <c r="B1203" s="7" t="s">
        <v>300</v>
      </c>
      <c r="C1203" s="8">
        <v>7000</v>
      </c>
      <c r="D1203" s="7" t="s">
        <v>11</v>
      </c>
      <c r="E1203" s="7" t="s">
        <v>20</v>
      </c>
    </row>
    <row r="1204" spans="1:5" ht="25.5">
      <c r="A1204" s="6" t="str">
        <f>HYPERLINK(SUBSTITUTE(T(hl_0),"{0}","900327184319156"),hn_0)</f>
        <v>ОВ</v>
      </c>
      <c r="B1204" s="7" t="s">
        <v>300</v>
      </c>
      <c r="C1204" s="8">
        <v>6700</v>
      </c>
      <c r="D1204" s="7" t="s">
        <v>11</v>
      </c>
      <c r="E1204" s="7" t="s">
        <v>20</v>
      </c>
    </row>
    <row r="1205" spans="1:5" ht="25.5">
      <c r="A1205" s="6" t="str">
        <f>HYPERLINK(SUBSTITUTE(T(hl_0),"{0}","900327184323754"),hn_0)</f>
        <v>ОВ</v>
      </c>
      <c r="B1205" s="7" t="s">
        <v>300</v>
      </c>
      <c r="C1205" s="8">
        <v>6700</v>
      </c>
      <c r="D1205" s="7" t="s">
        <v>11</v>
      </c>
      <c r="E1205" s="7" t="s">
        <v>20</v>
      </c>
    </row>
    <row r="1206" spans="1:5" ht="25.5">
      <c r="A1206" s="6" t="str">
        <f>HYPERLINK(SUBSTITUTE(T(hl_0),"{0}","900332146159546"),hn_0)</f>
        <v>ОВ</v>
      </c>
      <c r="B1206" s="7" t="s">
        <v>302</v>
      </c>
      <c r="C1206" s="8">
        <v>6313.32</v>
      </c>
      <c r="D1206" s="7" t="s">
        <v>11</v>
      </c>
      <c r="E1206" s="7" t="s">
        <v>20</v>
      </c>
    </row>
    <row r="1207" spans="1:5" ht="25.5">
      <c r="A1207" s="6" t="str">
        <f>HYPERLINK(SUBSTITUTE(T(hl_0),"{0}","319331648493667"),hn_0)</f>
        <v>ОВ</v>
      </c>
      <c r="B1207" s="7" t="s">
        <v>303</v>
      </c>
      <c r="C1207" s="8">
        <v>5500</v>
      </c>
      <c r="D1207" s="7" t="s">
        <v>14</v>
      </c>
      <c r="E1207" s="7" t="s">
        <v>15</v>
      </c>
    </row>
    <row r="1208" spans="1:5" ht="25.5">
      <c r="A1208" s="6" t="str">
        <f>HYPERLINK(SUBSTITUTE(T(hl_0),"{0}","319331648476014"),hn_0)</f>
        <v>ОВ</v>
      </c>
      <c r="B1208" s="7" t="s">
        <v>303</v>
      </c>
      <c r="C1208" s="8">
        <v>5500</v>
      </c>
      <c r="D1208" s="7" t="s">
        <v>14</v>
      </c>
      <c r="E1208" s="7" t="s">
        <v>15</v>
      </c>
    </row>
    <row r="1209" spans="1:5" ht="12.75">
      <c r="A1209" s="6" t="str">
        <f>HYPERLINK(SUBSTITUTE(T(hl_0),"{0}","319330279993363"),hn_0)</f>
        <v>ОВ</v>
      </c>
      <c r="B1209" s="7" t="s">
        <v>304</v>
      </c>
      <c r="C1209" s="8">
        <v>5042</v>
      </c>
      <c r="D1209" s="7" t="s">
        <v>14</v>
      </c>
      <c r="E1209" s="7" t="s">
        <v>15</v>
      </c>
    </row>
    <row r="1210" spans="1:5" ht="12.75">
      <c r="A1210" s="6" t="str">
        <f>HYPERLINK(SUBSTITUTE(T(hl_0),"{0}","900332417069687"),hn_0)</f>
        <v>ОВ</v>
      </c>
      <c r="B1210" s="7" t="s">
        <v>304</v>
      </c>
      <c r="C1210" s="8">
        <v>5000</v>
      </c>
      <c r="D1210" s="7" t="s">
        <v>305</v>
      </c>
      <c r="E1210" s="7" t="s">
        <v>20</v>
      </c>
    </row>
    <row r="1211" spans="1:5" ht="12.75">
      <c r="A1211" s="6" t="str">
        <f>HYPERLINK(SUBSTITUTE(T(hl_0),"{0}","900332417048797"),hn_0)</f>
        <v>ОВ</v>
      </c>
      <c r="B1211" s="7" t="s">
        <v>304</v>
      </c>
      <c r="C1211" s="8">
        <v>5000</v>
      </c>
      <c r="D1211" s="7" t="s">
        <v>305</v>
      </c>
      <c r="E1211" s="7" t="s">
        <v>20</v>
      </c>
    </row>
    <row r="1212" spans="1:5" ht="25.5">
      <c r="A1212" s="6" t="str">
        <f>HYPERLINK(SUBSTITUTE(T(hl_0),"{0}","320332023261311"),hn_0)</f>
        <v>ОВ</v>
      </c>
      <c r="B1212" s="7" t="s">
        <v>306</v>
      </c>
      <c r="C1212" s="8">
        <v>6000</v>
      </c>
      <c r="D1212" s="7" t="s">
        <v>16</v>
      </c>
      <c r="E1212" s="7" t="s">
        <v>17</v>
      </c>
    </row>
    <row r="1213" spans="1:5" ht="12.75">
      <c r="A1213" s="6" t="str">
        <f>HYPERLINK(SUBSTITUTE(T(hl_0),"{0}","330331507132322"),hn_0)</f>
        <v>ОВ</v>
      </c>
      <c r="B1213" s="7" t="s">
        <v>307</v>
      </c>
      <c r="C1213" s="8">
        <v>6000</v>
      </c>
      <c r="D1213" s="7" t="s">
        <v>252</v>
      </c>
      <c r="E1213" s="7" t="s">
        <v>29</v>
      </c>
    </row>
    <row r="1214" spans="1:5" ht="12.75">
      <c r="A1214" s="6" t="str">
        <f>HYPERLINK(SUBSTITUTE(T(hl_0),"{0}","330331507132285"),hn_0)</f>
        <v>ОВ</v>
      </c>
      <c r="B1214" s="7" t="s">
        <v>307</v>
      </c>
      <c r="C1214" s="8">
        <v>6000</v>
      </c>
      <c r="D1214" s="7" t="s">
        <v>252</v>
      </c>
      <c r="E1214" s="7" t="s">
        <v>29</v>
      </c>
    </row>
    <row r="1215" spans="1:5" ht="12.75">
      <c r="A1215" s="6" t="str">
        <f>HYPERLINK(SUBSTITUTE(T(hl_0),"{0}","330331507132314"),hn_0)</f>
        <v>ОВ</v>
      </c>
      <c r="B1215" s="7" t="s">
        <v>307</v>
      </c>
      <c r="C1215" s="8">
        <v>6000</v>
      </c>
      <c r="D1215" s="7" t="s">
        <v>252</v>
      </c>
      <c r="E1215" s="7" t="s">
        <v>29</v>
      </c>
    </row>
    <row r="1216" spans="1:5" ht="12.75">
      <c r="A1216" s="6" t="str">
        <f>HYPERLINK(SUBSTITUTE(T(hl_0),"{0}","330331507132295"),hn_0)</f>
        <v>ОВ</v>
      </c>
      <c r="B1216" s="7" t="s">
        <v>307</v>
      </c>
      <c r="C1216" s="8">
        <v>6000</v>
      </c>
      <c r="D1216" s="7" t="s">
        <v>252</v>
      </c>
      <c r="E1216" s="7" t="s">
        <v>29</v>
      </c>
    </row>
    <row r="1217" spans="1:5" ht="12.75">
      <c r="A1217" s="6" t="str">
        <f>HYPERLINK(SUBSTITUTE(T(hl_0),"{0}","329331791252705"),hn_0)</f>
        <v>ОВ</v>
      </c>
      <c r="B1217" s="7" t="s">
        <v>308</v>
      </c>
      <c r="C1217" s="8">
        <v>7000</v>
      </c>
      <c r="D1217" s="7" t="s">
        <v>42</v>
      </c>
      <c r="E1217" s="7" t="s">
        <v>43</v>
      </c>
    </row>
    <row r="1218" spans="1:5" ht="12.75">
      <c r="A1218" s="6" t="str">
        <f>HYPERLINK(SUBSTITUTE(T(hl_0),"{0}","900332416788214"),hn_0)</f>
        <v>ОВ</v>
      </c>
      <c r="B1218" s="7" t="s">
        <v>308</v>
      </c>
      <c r="C1218" s="8">
        <v>5000</v>
      </c>
      <c r="D1218" s="7" t="s">
        <v>145</v>
      </c>
      <c r="E1218" s="7" t="s">
        <v>20</v>
      </c>
    </row>
    <row r="1219" spans="1:5" ht="12.75">
      <c r="A1219" s="6" t="str">
        <f>HYPERLINK(SUBSTITUTE(T(hl_0),"{0}","900332416788214"),hn_0)</f>
        <v>ОВ</v>
      </c>
      <c r="B1219" s="7" t="s">
        <v>308</v>
      </c>
      <c r="C1219" s="8">
        <v>5000</v>
      </c>
      <c r="D1219" s="7" t="s">
        <v>145</v>
      </c>
      <c r="E1219" s="7" t="s">
        <v>20</v>
      </c>
    </row>
    <row r="1220" spans="1:5" ht="12.75">
      <c r="A1220" s="6" t="str">
        <f>HYPERLINK(SUBSTITUTE(T(hl_0),"{0}","900332416788214"),hn_0)</f>
        <v>ОВ</v>
      </c>
      <c r="B1220" s="7" t="s">
        <v>308</v>
      </c>
      <c r="C1220" s="8">
        <v>5000</v>
      </c>
      <c r="D1220" s="7" t="s">
        <v>145</v>
      </c>
      <c r="E1220" s="7" t="s">
        <v>20</v>
      </c>
    </row>
    <row r="1221" spans="1:5" ht="12.75">
      <c r="A1221" s="6" t="str">
        <f>HYPERLINK(SUBSTITUTE(T(hl_0),"{0}","900332416802792"),hn_0)</f>
        <v>ОВ</v>
      </c>
      <c r="B1221" s="7" t="s">
        <v>308</v>
      </c>
      <c r="C1221" s="8">
        <v>5000</v>
      </c>
      <c r="D1221" s="7" t="s">
        <v>145</v>
      </c>
      <c r="E1221" s="7" t="s">
        <v>20</v>
      </c>
    </row>
    <row r="1222" spans="1:5" ht="12.75">
      <c r="A1222" s="6" t="str">
        <f>HYPERLINK(SUBSTITUTE(T(hl_0),"{0}","900332416802792"),hn_0)</f>
        <v>ОВ</v>
      </c>
      <c r="B1222" s="7" t="s">
        <v>308</v>
      </c>
      <c r="C1222" s="8">
        <v>5000</v>
      </c>
      <c r="D1222" s="7" t="s">
        <v>145</v>
      </c>
      <c r="E1222" s="7" t="s">
        <v>20</v>
      </c>
    </row>
    <row r="1223" spans="1:5" ht="12.75">
      <c r="A1223" s="6" t="str">
        <f>HYPERLINK(SUBSTITUTE(T(hl_0),"{0}","900332416802792"),hn_0)</f>
        <v>ОВ</v>
      </c>
      <c r="B1223" s="7" t="s">
        <v>308</v>
      </c>
      <c r="C1223" s="8">
        <v>5000</v>
      </c>
      <c r="D1223" s="7" t="s">
        <v>145</v>
      </c>
      <c r="E1223" s="7" t="s">
        <v>20</v>
      </c>
    </row>
    <row r="1224" spans="1:5" ht="12.75">
      <c r="A1224" s="6" t="str">
        <f>HYPERLINK(SUBSTITUTE(T(hl_0),"{0}","900332417209000"),hn_0)</f>
        <v>ОВ</v>
      </c>
      <c r="B1224" s="7" t="s">
        <v>308</v>
      </c>
      <c r="C1224" s="8">
        <v>5000</v>
      </c>
      <c r="D1224" s="7" t="s">
        <v>199</v>
      </c>
      <c r="E1224" s="7" t="s">
        <v>20</v>
      </c>
    </row>
    <row r="1225" spans="1:5" ht="12.75">
      <c r="A1225" s="6" t="str">
        <f>HYPERLINK(SUBSTITUTE(T(hl_0),"{0}","900331901505611"),hn_0)</f>
        <v>ОВ</v>
      </c>
      <c r="B1225" s="7" t="s">
        <v>308</v>
      </c>
      <c r="C1225" s="8">
        <v>5000</v>
      </c>
      <c r="D1225" s="7" t="s">
        <v>11</v>
      </c>
      <c r="E1225" s="7" t="s">
        <v>20</v>
      </c>
    </row>
    <row r="1226" spans="1:5" ht="12.75">
      <c r="A1226" s="6" t="str">
        <f>HYPERLINK(SUBSTITUTE(T(hl_0),"{0}","900332417193468"),hn_0)</f>
        <v>ОВ</v>
      </c>
      <c r="B1226" s="7" t="s">
        <v>308</v>
      </c>
      <c r="C1226" s="8">
        <v>5000</v>
      </c>
      <c r="D1226" s="7" t="s">
        <v>199</v>
      </c>
      <c r="E1226" s="7" t="s">
        <v>20</v>
      </c>
    </row>
    <row r="1227" spans="1:5" ht="12.75">
      <c r="A1227" s="6" t="str">
        <f>HYPERLINK(SUBSTITUTE(T(hl_0),"{0}","900330547760399"),hn_0)</f>
        <v>ОВ</v>
      </c>
      <c r="B1227" s="7" t="s">
        <v>308</v>
      </c>
      <c r="C1227" s="8">
        <v>5000</v>
      </c>
      <c r="D1227" s="7" t="s">
        <v>309</v>
      </c>
      <c r="E1227" s="7" t="s">
        <v>20</v>
      </c>
    </row>
    <row r="1228" spans="1:5" ht="12.75">
      <c r="A1228" s="6" t="str">
        <f>HYPERLINK(SUBSTITUTE(T(hl_0),"{0}","900332418741416"),hn_0)</f>
        <v>ОВ</v>
      </c>
      <c r="B1228" s="7" t="s">
        <v>308</v>
      </c>
      <c r="C1228" s="8">
        <v>5000</v>
      </c>
      <c r="D1228" s="7" t="s">
        <v>11</v>
      </c>
      <c r="E1228" s="7" t="s">
        <v>20</v>
      </c>
    </row>
    <row r="1229" spans="1:5" ht="12.75">
      <c r="A1229" s="6" t="str">
        <f>HYPERLINK(SUBSTITUTE(T(hl_0),"{0}","319330166165014"),hn_0)</f>
        <v>ОВ</v>
      </c>
      <c r="B1229" s="7" t="s">
        <v>310</v>
      </c>
      <c r="C1229" s="8">
        <v>6500</v>
      </c>
      <c r="D1229" s="7" t="s">
        <v>14</v>
      </c>
      <c r="E1229" s="7" t="s">
        <v>15</v>
      </c>
    </row>
    <row r="1230" spans="1:5" ht="12.75">
      <c r="A1230" s="6" t="str">
        <f>HYPERLINK(SUBSTITUTE(T(hl_0),"{0}","319332759463329"),hn_0)</f>
        <v>ОВ</v>
      </c>
      <c r="B1230" s="7" t="s">
        <v>311</v>
      </c>
      <c r="C1230" s="8">
        <v>9000</v>
      </c>
      <c r="D1230" s="7" t="s">
        <v>14</v>
      </c>
      <c r="E1230" s="7" t="s">
        <v>15</v>
      </c>
    </row>
    <row r="1231" spans="1:5" ht="12.75">
      <c r="A1231" s="6" t="str">
        <f>HYPERLINK(SUBSTITUTE(T(hl_0),"{0}","319332759477633"),hn_0)</f>
        <v>ОВ</v>
      </c>
      <c r="B1231" s="7" t="s">
        <v>311</v>
      </c>
      <c r="C1231" s="8">
        <v>9000</v>
      </c>
      <c r="D1231" s="7" t="s">
        <v>14</v>
      </c>
      <c r="E1231" s="7" t="s">
        <v>15</v>
      </c>
    </row>
    <row r="1232" spans="1:5" ht="12.75">
      <c r="A1232" s="6" t="str">
        <f>HYPERLINK(SUBSTITUTE(T(hl_0),"{0}","319327465912524"),hn_0)</f>
        <v>ОВ</v>
      </c>
      <c r="B1232" s="7" t="s">
        <v>311</v>
      </c>
      <c r="C1232" s="8">
        <v>10000</v>
      </c>
      <c r="D1232" s="7" t="s">
        <v>14</v>
      </c>
      <c r="E1232" s="7" t="s">
        <v>15</v>
      </c>
    </row>
    <row r="1233" spans="1:5" ht="12.75">
      <c r="A1233" s="6" t="str">
        <f>HYPERLINK(SUBSTITUTE(T(hl_0),"{0}","321330360892988"),hn_0)</f>
        <v>ОВ</v>
      </c>
      <c r="B1233" s="7" t="s">
        <v>311</v>
      </c>
      <c r="C1233" s="8">
        <v>5319</v>
      </c>
      <c r="D1233" s="7" t="s">
        <v>18</v>
      </c>
      <c r="E1233" s="7" t="s">
        <v>19</v>
      </c>
    </row>
    <row r="1234" spans="1:5" ht="12.75">
      <c r="A1234" s="6" t="str">
        <f>HYPERLINK(SUBSTITUTE(T(hl_0),"{0}","321330360892988"),hn_0)</f>
        <v>ОВ</v>
      </c>
      <c r="B1234" s="7" t="s">
        <v>311</v>
      </c>
      <c r="C1234" s="8">
        <v>5319</v>
      </c>
      <c r="D1234" s="7" t="s">
        <v>18</v>
      </c>
      <c r="E1234" s="7" t="s">
        <v>19</v>
      </c>
    </row>
    <row r="1235" spans="1:5" ht="12.75">
      <c r="A1235" s="6" t="str">
        <f>HYPERLINK(SUBSTITUTE(T(hl_0),"{0}","321327940626876"),hn_0)</f>
        <v>ОВ</v>
      </c>
      <c r="B1235" s="7" t="s">
        <v>311</v>
      </c>
      <c r="C1235" s="8">
        <v>7000</v>
      </c>
      <c r="D1235" s="7" t="s">
        <v>18</v>
      </c>
      <c r="E1235" s="7" t="s">
        <v>19</v>
      </c>
    </row>
    <row r="1236" spans="1:5" ht="12.75">
      <c r="A1236" s="6" t="str">
        <f>HYPERLINK(SUBSTITUTE(T(hl_0),"{0}","330331390426750"),hn_0)</f>
        <v>ОВ</v>
      </c>
      <c r="B1236" s="7" t="s">
        <v>311</v>
      </c>
      <c r="C1236" s="8">
        <v>8000</v>
      </c>
      <c r="D1236" s="7" t="s">
        <v>44</v>
      </c>
      <c r="E1236" s="7" t="s">
        <v>29</v>
      </c>
    </row>
    <row r="1237" spans="1:5" ht="12.75">
      <c r="A1237" s="6" t="str">
        <f>HYPERLINK(SUBSTITUTE(T(hl_0),"{0}","330328246730339"),hn_0)</f>
        <v>ОВ</v>
      </c>
      <c r="B1237" s="7" t="s">
        <v>311</v>
      </c>
      <c r="C1237" s="8">
        <v>8800</v>
      </c>
      <c r="D1237" s="7" t="s">
        <v>44</v>
      </c>
      <c r="E1237" s="7" t="s">
        <v>29</v>
      </c>
    </row>
    <row r="1238" spans="1:5" ht="12.75">
      <c r="A1238" s="6" t="str">
        <f>HYPERLINK(SUBSTITUTE(T(hl_0),"{0}","330328246730339"),hn_0)</f>
        <v>ОВ</v>
      </c>
      <c r="B1238" s="7" t="s">
        <v>311</v>
      </c>
      <c r="C1238" s="8">
        <v>8800</v>
      </c>
      <c r="D1238" s="7" t="s">
        <v>44</v>
      </c>
      <c r="E1238" s="7" t="s">
        <v>29</v>
      </c>
    </row>
    <row r="1239" spans="1:5" ht="12.75">
      <c r="A1239" s="6" t="str">
        <f>HYPERLINK(SUBSTITUTE(T(hl_0),"{0}","900331900305017"),hn_0)</f>
        <v>ОВ</v>
      </c>
      <c r="B1239" s="7" t="s">
        <v>311</v>
      </c>
      <c r="C1239" s="8">
        <v>7000</v>
      </c>
      <c r="D1239" s="7" t="s">
        <v>11</v>
      </c>
      <c r="E1239" s="7" t="s">
        <v>20</v>
      </c>
    </row>
    <row r="1240" spans="1:5" ht="12.75">
      <c r="A1240" s="6" t="str">
        <f>HYPERLINK(SUBSTITUTE(T(hl_0),"{0}","900331900305017"),hn_0)</f>
        <v>ОВ</v>
      </c>
      <c r="B1240" s="7" t="s">
        <v>311</v>
      </c>
      <c r="C1240" s="8">
        <v>7000</v>
      </c>
      <c r="D1240" s="7" t="s">
        <v>11</v>
      </c>
      <c r="E1240" s="7" t="s">
        <v>20</v>
      </c>
    </row>
    <row r="1241" spans="1:5" ht="12.75">
      <c r="A1241" s="6" t="str">
        <f>HYPERLINK(SUBSTITUTE(T(hl_0),"{0}","900331900305017"),hn_0)</f>
        <v>ОВ</v>
      </c>
      <c r="B1241" s="7" t="s">
        <v>311</v>
      </c>
      <c r="C1241" s="8">
        <v>7000</v>
      </c>
      <c r="D1241" s="7" t="s">
        <v>11</v>
      </c>
      <c r="E1241" s="7" t="s">
        <v>20</v>
      </c>
    </row>
    <row r="1242" spans="1:5" ht="12.75">
      <c r="A1242" s="6" t="str">
        <f>HYPERLINK(SUBSTITUTE(T(hl_0),"{0}","900330970368141"),hn_0)</f>
        <v>ОВ</v>
      </c>
      <c r="B1242" s="7" t="s">
        <v>311</v>
      </c>
      <c r="C1242" s="8">
        <v>7000</v>
      </c>
      <c r="D1242" s="7" t="s">
        <v>312</v>
      </c>
      <c r="E1242" s="7" t="s">
        <v>20</v>
      </c>
    </row>
    <row r="1243" spans="1:5" ht="12.75">
      <c r="A1243" s="6" t="str">
        <f>HYPERLINK(SUBSTITUTE(T(hl_0),"{0}","319327465905232"),hn_0)</f>
        <v>ОВ</v>
      </c>
      <c r="B1243" s="7" t="s">
        <v>313</v>
      </c>
      <c r="C1243" s="8">
        <v>11000</v>
      </c>
      <c r="D1243" s="7" t="s">
        <v>14</v>
      </c>
      <c r="E1243" s="7" t="s">
        <v>15</v>
      </c>
    </row>
    <row r="1244" spans="1:5" ht="12.75">
      <c r="A1244" s="6" t="str">
        <f>HYPERLINK(SUBSTITUTE(T(hl_0),"{0}","900331337221110"),hn_0)</f>
        <v>ОВ</v>
      </c>
      <c r="B1244" s="7" t="s">
        <v>313</v>
      </c>
      <c r="C1244" s="8">
        <v>9000</v>
      </c>
      <c r="D1244" s="7" t="s">
        <v>11</v>
      </c>
      <c r="E1244" s="7" t="s">
        <v>20</v>
      </c>
    </row>
    <row r="1245" spans="1:5" ht="12.75">
      <c r="A1245" s="6" t="str">
        <f>HYPERLINK(SUBSTITUTE(T(hl_0),"{0}","322332678879435"),hn_0)</f>
        <v>ОВ</v>
      </c>
      <c r="B1245" s="7" t="s">
        <v>314</v>
      </c>
      <c r="C1245" s="8">
        <v>5500</v>
      </c>
      <c r="D1245" s="7" t="s">
        <v>46</v>
      </c>
      <c r="E1245" s="7" t="s">
        <v>47</v>
      </c>
    </row>
    <row r="1246" spans="1:5" ht="12.75">
      <c r="A1246" s="6" t="str">
        <f>HYPERLINK(SUBSTITUTE(T(hl_0),"{0}","900332580885795"),hn_0)</f>
        <v>ОВ</v>
      </c>
      <c r="B1246" s="7" t="s">
        <v>315</v>
      </c>
      <c r="C1246" s="8">
        <v>8000</v>
      </c>
      <c r="D1246" s="7" t="s">
        <v>11</v>
      </c>
      <c r="E1246" s="7" t="s">
        <v>20</v>
      </c>
    </row>
    <row r="1247" spans="1:5" ht="12.75">
      <c r="A1247" s="6" t="str">
        <f>HYPERLINK(SUBSTITUTE(T(hl_0),"{0}","900332580885783"),hn_0)</f>
        <v>ОВ</v>
      </c>
      <c r="B1247" s="7" t="s">
        <v>315</v>
      </c>
      <c r="C1247" s="8">
        <v>8000</v>
      </c>
      <c r="D1247" s="7" t="s">
        <v>11</v>
      </c>
      <c r="E1247" s="7" t="s">
        <v>20</v>
      </c>
    </row>
    <row r="1248" spans="1:5" ht="12.75">
      <c r="A1248" s="6" t="str">
        <f>HYPERLINK(SUBSTITUTE(T(hl_0),"{0}","900332580885802"),hn_0)</f>
        <v>ОВ</v>
      </c>
      <c r="B1248" s="7" t="s">
        <v>315</v>
      </c>
      <c r="C1248" s="8">
        <v>8000</v>
      </c>
      <c r="D1248" s="7" t="s">
        <v>11</v>
      </c>
      <c r="E1248" s="7" t="s">
        <v>20</v>
      </c>
    </row>
    <row r="1249" spans="1:5" ht="12.75">
      <c r="A1249" s="6" t="str">
        <f>HYPERLINK(SUBSTITUTE(T(hl_0),"{0}","319332826582473"),hn_0)</f>
        <v>ОВ</v>
      </c>
      <c r="B1249" s="7" t="s">
        <v>316</v>
      </c>
      <c r="C1249" s="8">
        <v>7400</v>
      </c>
      <c r="D1249" s="7" t="s">
        <v>14</v>
      </c>
      <c r="E1249" s="7" t="s">
        <v>15</v>
      </c>
    </row>
    <row r="1250" spans="1:5" ht="12.75">
      <c r="A1250" s="6" t="str">
        <f>HYPERLINK(SUBSTITUTE(T(hl_0),"{0}","319331675651414"),hn_0)</f>
        <v>ОВ</v>
      </c>
      <c r="B1250" s="7" t="s">
        <v>317</v>
      </c>
      <c r="C1250" s="8">
        <v>5668</v>
      </c>
      <c r="D1250" s="7" t="s">
        <v>14</v>
      </c>
      <c r="E1250" s="7" t="s">
        <v>15</v>
      </c>
    </row>
    <row r="1251" spans="1:5" ht="12.75">
      <c r="A1251" s="6" t="str">
        <f>HYPERLINK(SUBSTITUTE(T(hl_0),"{0}","319332416265231"),hn_0)</f>
        <v>ОВ</v>
      </c>
      <c r="B1251" s="7" t="s">
        <v>317</v>
      </c>
      <c r="C1251" s="8">
        <v>5000</v>
      </c>
      <c r="D1251" s="7" t="s">
        <v>14</v>
      </c>
      <c r="E1251" s="7" t="s">
        <v>15</v>
      </c>
    </row>
    <row r="1252" spans="1:5" ht="12.75">
      <c r="A1252" s="6" t="str">
        <f>HYPERLINK(SUBSTITUTE(T(hl_0),"{0}","319331674496987"),hn_0)</f>
        <v>ОВ</v>
      </c>
      <c r="B1252" s="7" t="s">
        <v>317</v>
      </c>
      <c r="C1252" s="8">
        <v>5500</v>
      </c>
      <c r="D1252" s="7" t="s">
        <v>14</v>
      </c>
      <c r="E1252" s="7" t="s">
        <v>15</v>
      </c>
    </row>
    <row r="1253" spans="1:5" ht="25.5">
      <c r="A1253" s="6" t="str">
        <f>HYPERLINK(SUBSTITUTE(T(hl_0),"{0}","320329993351343"),hn_0)</f>
        <v>ОВ</v>
      </c>
      <c r="B1253" s="7" t="s">
        <v>317</v>
      </c>
      <c r="C1253" s="8">
        <v>5000</v>
      </c>
      <c r="D1253" s="7" t="s">
        <v>16</v>
      </c>
      <c r="E1253" s="7" t="s">
        <v>17</v>
      </c>
    </row>
    <row r="1254" spans="1:5" ht="25.5">
      <c r="A1254" s="6" t="str">
        <f>HYPERLINK(SUBSTITUTE(T(hl_0),"{0}","320329993351383"),hn_0)</f>
        <v>ОВ</v>
      </c>
      <c r="B1254" s="7" t="s">
        <v>317</v>
      </c>
      <c r="C1254" s="8">
        <v>5000</v>
      </c>
      <c r="D1254" s="7" t="s">
        <v>16</v>
      </c>
      <c r="E1254" s="7" t="s">
        <v>17</v>
      </c>
    </row>
    <row r="1255" spans="1:5" ht="12.75">
      <c r="A1255" s="6" t="str">
        <f>HYPERLINK(SUBSTITUTE(T(hl_0),"{0}","325327916776068"),hn_0)</f>
        <v>ОВ</v>
      </c>
      <c r="B1255" s="7" t="s">
        <v>317</v>
      </c>
      <c r="C1255" s="8">
        <v>13000</v>
      </c>
      <c r="D1255" s="7" t="s">
        <v>34</v>
      </c>
      <c r="E1255" s="7" t="s">
        <v>27</v>
      </c>
    </row>
    <row r="1256" spans="1:5" ht="12.75">
      <c r="A1256" s="6" t="str">
        <f>HYPERLINK(SUBSTITUTE(T(hl_0),"{0}","327328111020043"),hn_0)</f>
        <v>ОВ</v>
      </c>
      <c r="B1256" s="7" t="s">
        <v>317</v>
      </c>
      <c r="C1256" s="8">
        <v>5100</v>
      </c>
      <c r="D1256" s="7" t="s">
        <v>11</v>
      </c>
      <c r="E1256" s="7" t="s">
        <v>12</v>
      </c>
    </row>
    <row r="1257" spans="1:5" ht="12.75">
      <c r="A1257" s="6" t="str">
        <f>HYPERLINK(SUBSTITUTE(T(hl_0),"{0}","900331562631378"),hn_0)</f>
        <v>ОВ</v>
      </c>
      <c r="B1257" s="7" t="s">
        <v>317</v>
      </c>
      <c r="C1257" s="8">
        <v>7916</v>
      </c>
      <c r="D1257" s="7" t="s">
        <v>11</v>
      </c>
      <c r="E1257" s="7" t="s">
        <v>20</v>
      </c>
    </row>
    <row r="1258" spans="1:5" ht="12.75">
      <c r="A1258" s="6" t="str">
        <f>HYPERLINK(SUBSTITUTE(T(hl_0),"{0}","900331675902660"),hn_0)</f>
        <v>ОВ</v>
      </c>
      <c r="B1258" s="7" t="s">
        <v>317</v>
      </c>
      <c r="C1258" s="8">
        <v>15000</v>
      </c>
      <c r="D1258" s="7" t="s">
        <v>11</v>
      </c>
      <c r="E1258" s="7" t="s">
        <v>20</v>
      </c>
    </row>
    <row r="1259" spans="1:5" ht="12.75">
      <c r="A1259" s="6" t="str">
        <f>HYPERLINK(SUBSTITUTE(T(hl_0),"{0}","900332145541216"),hn_0)</f>
        <v>ОВ</v>
      </c>
      <c r="B1259" s="7" t="s">
        <v>317</v>
      </c>
      <c r="C1259" s="8">
        <v>10000</v>
      </c>
      <c r="D1259" s="7" t="s">
        <v>11</v>
      </c>
      <c r="E1259" s="7" t="s">
        <v>20</v>
      </c>
    </row>
    <row r="1260" spans="1:5" ht="12.75">
      <c r="A1260" s="6" t="str">
        <f>HYPERLINK(SUBSTITUTE(T(hl_0),"{0}","900325181166675"),hn_0)</f>
        <v>ОВ</v>
      </c>
      <c r="B1260" s="7" t="s">
        <v>317</v>
      </c>
      <c r="C1260" s="8">
        <v>5500</v>
      </c>
      <c r="D1260" s="7" t="s">
        <v>11</v>
      </c>
      <c r="E1260" s="7" t="s">
        <v>20</v>
      </c>
    </row>
    <row r="1261" spans="1:5" ht="12.75">
      <c r="A1261" s="6" t="str">
        <f>HYPERLINK(SUBSTITUTE(T(hl_0),"{0}","900327920276161"),hn_0)</f>
        <v>ОВ</v>
      </c>
      <c r="B1261" s="7" t="s">
        <v>317</v>
      </c>
      <c r="C1261" s="8">
        <v>5500</v>
      </c>
      <c r="D1261" s="7" t="s">
        <v>11</v>
      </c>
      <c r="E1261" s="7" t="s">
        <v>20</v>
      </c>
    </row>
    <row r="1262" spans="1:5" ht="25.5">
      <c r="A1262" s="6" t="str">
        <f>HYPERLINK(SUBSTITUTE(T(hl_0),"{0}","320332706107775"),hn_0)</f>
        <v>ОВ</v>
      </c>
      <c r="B1262" s="7" t="s">
        <v>318</v>
      </c>
      <c r="C1262" s="8">
        <v>5000</v>
      </c>
      <c r="D1262" s="7" t="s">
        <v>16</v>
      </c>
      <c r="E1262" s="7" t="s">
        <v>17</v>
      </c>
    </row>
    <row r="1263" spans="1:5" ht="25.5">
      <c r="A1263" s="6" t="str">
        <f>HYPERLINK(SUBSTITUTE(T(hl_0),"{0}","320331701625344"),hn_0)</f>
        <v>ОВ</v>
      </c>
      <c r="B1263" s="7" t="s">
        <v>318</v>
      </c>
      <c r="C1263" s="8">
        <v>5000</v>
      </c>
      <c r="D1263" s="7" t="s">
        <v>16</v>
      </c>
      <c r="E1263" s="7" t="s">
        <v>17</v>
      </c>
    </row>
    <row r="1264" spans="1:5" ht="25.5">
      <c r="A1264" s="6" t="str">
        <f>HYPERLINK(SUBSTITUTE(T(hl_0),"{0}","320331701625338"),hn_0)</f>
        <v>ОВ</v>
      </c>
      <c r="B1264" s="7" t="s">
        <v>318</v>
      </c>
      <c r="C1264" s="8">
        <v>5000</v>
      </c>
      <c r="D1264" s="7" t="s">
        <v>16</v>
      </c>
      <c r="E1264" s="7" t="s">
        <v>17</v>
      </c>
    </row>
    <row r="1265" spans="1:5" ht="12.75">
      <c r="A1265" s="6" t="str">
        <f>HYPERLINK(SUBSTITUTE(T(hl_0),"{0}","329332197754379"),hn_0)</f>
        <v>ОВ</v>
      </c>
      <c r="B1265" s="7" t="s">
        <v>318</v>
      </c>
      <c r="C1265" s="8">
        <v>5500</v>
      </c>
      <c r="D1265" s="7" t="s">
        <v>42</v>
      </c>
      <c r="E1265" s="7" t="s">
        <v>43</v>
      </c>
    </row>
    <row r="1266" spans="1:5" ht="12.75">
      <c r="A1266" s="6" t="str">
        <f>HYPERLINK(SUBSTITUTE(T(hl_0),"{0}","900331341167844"),hn_0)</f>
        <v>ОВ</v>
      </c>
      <c r="B1266" s="7" t="s">
        <v>318</v>
      </c>
      <c r="C1266" s="8">
        <v>5000</v>
      </c>
      <c r="D1266" s="7" t="s">
        <v>11</v>
      </c>
      <c r="E1266" s="7" t="s">
        <v>20</v>
      </c>
    </row>
    <row r="1267" spans="1:5" ht="12.75">
      <c r="A1267" s="6" t="str">
        <f>HYPERLINK(SUBSTITUTE(T(hl_0),"{0}","900331341149585"),hn_0)</f>
        <v>ОВ</v>
      </c>
      <c r="B1267" s="7" t="s">
        <v>318</v>
      </c>
      <c r="C1267" s="8">
        <v>5000</v>
      </c>
      <c r="D1267" s="7" t="s">
        <v>11</v>
      </c>
      <c r="E1267" s="7" t="s">
        <v>20</v>
      </c>
    </row>
    <row r="1268" spans="1:5" ht="12.75">
      <c r="A1268" s="6" t="str">
        <f>HYPERLINK(SUBSTITUTE(T(hl_0),"{0}","900332731394003"),hn_0)</f>
        <v>ОВ</v>
      </c>
      <c r="B1268" s="7" t="s">
        <v>318</v>
      </c>
      <c r="C1268" s="8">
        <v>5000</v>
      </c>
      <c r="D1268" s="7" t="s">
        <v>11</v>
      </c>
      <c r="E1268" s="7" t="s">
        <v>20</v>
      </c>
    </row>
    <row r="1269" spans="1:5" ht="12.75">
      <c r="A1269" s="6" t="str">
        <f>HYPERLINK(SUBSTITUTE(T(hl_0),"{0}","900332703773064"),hn_0)</f>
        <v>ОВ</v>
      </c>
      <c r="B1269" s="7" t="s">
        <v>318</v>
      </c>
      <c r="C1269" s="8">
        <v>5000</v>
      </c>
      <c r="D1269" s="7" t="s">
        <v>11</v>
      </c>
      <c r="E1269" s="7" t="s">
        <v>20</v>
      </c>
    </row>
    <row r="1270" spans="1:5" ht="25.5">
      <c r="A1270" s="6" t="str">
        <f>HYPERLINK(SUBSTITUTE(T(hl_0),"{0}","319332224260437"),hn_0)</f>
        <v>ОВ</v>
      </c>
      <c r="B1270" s="7" t="s">
        <v>319</v>
      </c>
      <c r="C1270" s="8">
        <v>5100</v>
      </c>
      <c r="D1270" s="7" t="s">
        <v>14</v>
      </c>
      <c r="E1270" s="7" t="s">
        <v>15</v>
      </c>
    </row>
    <row r="1271" spans="1:5" ht="25.5">
      <c r="A1271" s="6" t="str">
        <f>HYPERLINK(SUBSTITUTE(T(hl_0),"{0}","319331674256035"),hn_0)</f>
        <v>ОВ</v>
      </c>
      <c r="B1271" s="7" t="s">
        <v>319</v>
      </c>
      <c r="C1271" s="8">
        <v>5500</v>
      </c>
      <c r="D1271" s="7" t="s">
        <v>14</v>
      </c>
      <c r="E1271" s="7" t="s">
        <v>15</v>
      </c>
    </row>
    <row r="1272" spans="1:5" ht="25.5">
      <c r="A1272" s="6" t="str">
        <f>HYPERLINK(SUBSTITUTE(T(hl_0),"{0}","319332224285260"),hn_0)</f>
        <v>ОВ</v>
      </c>
      <c r="B1272" s="7" t="s">
        <v>319</v>
      </c>
      <c r="C1272" s="8">
        <v>5100</v>
      </c>
      <c r="D1272" s="7" t="s">
        <v>14</v>
      </c>
      <c r="E1272" s="7" t="s">
        <v>15</v>
      </c>
    </row>
    <row r="1273" spans="1:5" ht="12.75">
      <c r="A1273" s="6" t="str">
        <f>HYPERLINK(SUBSTITUTE(T(hl_0),"{0}","321330190399709"),hn_0)</f>
        <v>ОВ</v>
      </c>
      <c r="B1273" s="7" t="s">
        <v>320</v>
      </c>
      <c r="C1273" s="8">
        <v>7000</v>
      </c>
      <c r="D1273" s="7" t="s">
        <v>283</v>
      </c>
      <c r="E1273" s="7" t="s">
        <v>19</v>
      </c>
    </row>
    <row r="1274" spans="1:5" ht="12.75">
      <c r="A1274" s="6" t="str">
        <f>HYPERLINK(SUBSTITUTE(T(hl_0),"{0}","321330190399703"),hn_0)</f>
        <v>ОВ</v>
      </c>
      <c r="B1274" s="7" t="s">
        <v>320</v>
      </c>
      <c r="C1274" s="8">
        <v>7000</v>
      </c>
      <c r="D1274" s="7" t="s">
        <v>283</v>
      </c>
      <c r="E1274" s="7" t="s">
        <v>19</v>
      </c>
    </row>
    <row r="1275" spans="1:5" ht="12.75">
      <c r="A1275" s="6" t="str">
        <f>HYPERLINK(SUBSTITUTE(T(hl_0),"{0}","321330190398137"),hn_0)</f>
        <v>ОВ</v>
      </c>
      <c r="B1275" s="7" t="s">
        <v>320</v>
      </c>
      <c r="C1275" s="8">
        <v>7000</v>
      </c>
      <c r="D1275" s="7" t="s">
        <v>283</v>
      </c>
      <c r="E1275" s="7" t="s">
        <v>19</v>
      </c>
    </row>
    <row r="1276" spans="1:5" ht="12.75">
      <c r="A1276" s="6" t="str">
        <f>HYPERLINK(SUBSTITUTE(T(hl_0),"{0}","900331848705748"),hn_0)</f>
        <v>ОВ</v>
      </c>
      <c r="B1276" s="7" t="s">
        <v>321</v>
      </c>
      <c r="C1276" s="8">
        <v>10000</v>
      </c>
      <c r="D1276" s="7" t="s">
        <v>11</v>
      </c>
      <c r="E1276" s="7" t="s">
        <v>20</v>
      </c>
    </row>
    <row r="1277" spans="1:5" ht="25.5">
      <c r="A1277" s="6" t="str">
        <f>HYPERLINK(SUBSTITUTE(T(hl_0),"{0}","320332368079009"),hn_0)</f>
        <v>ОВ</v>
      </c>
      <c r="B1277" s="7" t="s">
        <v>322</v>
      </c>
      <c r="C1277" s="8">
        <v>5000</v>
      </c>
      <c r="D1277" s="7" t="s">
        <v>16</v>
      </c>
      <c r="E1277" s="7" t="s">
        <v>17</v>
      </c>
    </row>
    <row r="1278" spans="1:5" ht="12.75">
      <c r="A1278" s="6" t="str">
        <f>HYPERLINK(SUBSTITUTE(T(hl_0),"{0}","324329965500865"),hn_0)</f>
        <v>ОВ</v>
      </c>
      <c r="B1278" s="7" t="s">
        <v>322</v>
      </c>
      <c r="C1278" s="8">
        <v>5800</v>
      </c>
      <c r="D1278" s="7" t="s">
        <v>323</v>
      </c>
      <c r="E1278" s="7" t="s">
        <v>190</v>
      </c>
    </row>
    <row r="1279" spans="1:5" ht="25.5">
      <c r="A1279" s="6" t="str">
        <f>HYPERLINK(SUBSTITUTE(T(hl_0),"{0}","900332501680743"),hn_0)</f>
        <v>ОВ</v>
      </c>
      <c r="B1279" s="7" t="s">
        <v>324</v>
      </c>
      <c r="C1279" s="8">
        <v>10000</v>
      </c>
      <c r="D1279" s="7" t="s">
        <v>11</v>
      </c>
      <c r="E1279" s="7" t="s">
        <v>20</v>
      </c>
    </row>
    <row r="1280" spans="1:5" ht="12.75">
      <c r="A1280" s="6" t="str">
        <f>HYPERLINK(SUBSTITUTE(T(hl_0),"{0}","322332556046656"),hn_0)</f>
        <v>ОВ</v>
      </c>
      <c r="B1280" s="7" t="s">
        <v>325</v>
      </c>
      <c r="C1280" s="8">
        <v>7000</v>
      </c>
      <c r="D1280" s="7" t="s">
        <v>46</v>
      </c>
      <c r="E1280" s="7" t="s">
        <v>47</v>
      </c>
    </row>
    <row r="1281" spans="1:5" ht="25.5">
      <c r="A1281" s="6" t="str">
        <f>HYPERLINK(SUBSTITUTE(T(hl_0),"{0}","900328161020635"),hn_0)</f>
        <v>ОВ</v>
      </c>
      <c r="B1281" s="7" t="s">
        <v>326</v>
      </c>
      <c r="C1281" s="8">
        <v>7000</v>
      </c>
      <c r="D1281" s="7" t="s">
        <v>11</v>
      </c>
      <c r="E1281" s="7" t="s">
        <v>20</v>
      </c>
    </row>
    <row r="1282" spans="1:5" ht="12.75">
      <c r="A1282" s="6" t="str">
        <f>HYPERLINK(SUBSTITUTE(T(hl_0),"{0}","900327074783591"),hn_0)</f>
        <v>ОВ</v>
      </c>
      <c r="B1282" s="7" t="s">
        <v>327</v>
      </c>
      <c r="C1282" s="8">
        <v>8000</v>
      </c>
      <c r="D1282" s="7" t="s">
        <v>11</v>
      </c>
      <c r="E1282" s="7" t="s">
        <v>20</v>
      </c>
    </row>
    <row r="1283" spans="1:5" ht="12.75">
      <c r="A1283" s="6" t="str">
        <f>HYPERLINK(SUBSTITUTE(T(hl_0),"{0}","900331558496871"),hn_0)</f>
        <v>ОВ</v>
      </c>
      <c r="B1283" s="7" t="s">
        <v>328</v>
      </c>
      <c r="C1283" s="8">
        <v>10000</v>
      </c>
      <c r="D1283" s="7" t="s">
        <v>11</v>
      </c>
      <c r="E1283" s="7" t="s">
        <v>20</v>
      </c>
    </row>
    <row r="1284" spans="1:5" ht="12.75">
      <c r="A1284" s="6" t="str">
        <f>HYPERLINK(SUBSTITUTE(T(hl_0),"{0}","900331968456986"),hn_0)</f>
        <v>ОВ</v>
      </c>
      <c r="B1284" s="7" t="s">
        <v>329</v>
      </c>
      <c r="C1284" s="8">
        <v>5000</v>
      </c>
      <c r="D1284" s="7" t="s">
        <v>11</v>
      </c>
      <c r="E1284" s="7" t="s">
        <v>20</v>
      </c>
    </row>
    <row r="1285" spans="1:5" ht="25.5">
      <c r="A1285" s="6" t="str">
        <f>HYPERLINK(SUBSTITUTE(T(hl_0),"{0}","320331701902148"),hn_0)</f>
        <v>ОВ</v>
      </c>
      <c r="B1285" s="7" t="s">
        <v>330</v>
      </c>
      <c r="C1285" s="8">
        <v>5000</v>
      </c>
      <c r="D1285" s="7" t="s">
        <v>16</v>
      </c>
      <c r="E1285" s="7" t="s">
        <v>17</v>
      </c>
    </row>
    <row r="1286" spans="1:5" ht="25.5">
      <c r="A1286" s="6" t="str">
        <f>HYPERLINK(SUBSTITUTE(T(hl_0),"{0}","320332529867608"),hn_0)</f>
        <v>ОВ</v>
      </c>
      <c r="B1286" s="7" t="s">
        <v>330</v>
      </c>
      <c r="C1286" s="8">
        <v>10000</v>
      </c>
      <c r="D1286" s="7" t="s">
        <v>16</v>
      </c>
      <c r="E1286" s="7" t="s">
        <v>17</v>
      </c>
    </row>
    <row r="1287" spans="1:5" ht="25.5">
      <c r="A1287" s="6" t="str">
        <f>HYPERLINK(SUBSTITUTE(T(hl_0),"{0}","320331701907256"),hn_0)</f>
        <v>ОВ</v>
      </c>
      <c r="B1287" s="7" t="s">
        <v>330</v>
      </c>
      <c r="C1287" s="8">
        <v>5000</v>
      </c>
      <c r="D1287" s="7" t="s">
        <v>16</v>
      </c>
      <c r="E1287" s="7" t="s">
        <v>17</v>
      </c>
    </row>
    <row r="1288" spans="1:5" ht="12.75">
      <c r="A1288" s="6" t="str">
        <f>HYPERLINK(SUBSTITUTE(T(hl_0),"{0}","321332647850332"),hn_0)</f>
        <v>ОВ</v>
      </c>
      <c r="B1288" s="7" t="s">
        <v>330</v>
      </c>
      <c r="C1288" s="8">
        <v>8000</v>
      </c>
      <c r="D1288" s="7" t="s">
        <v>18</v>
      </c>
      <c r="E1288" s="7" t="s">
        <v>19</v>
      </c>
    </row>
    <row r="1289" spans="1:5" ht="12.75">
      <c r="A1289" s="6" t="str">
        <f>HYPERLINK(SUBSTITUTE(T(hl_0),"{0}","321328134576445"),hn_0)</f>
        <v>ОВ</v>
      </c>
      <c r="B1289" s="7" t="s">
        <v>330</v>
      </c>
      <c r="C1289" s="8">
        <v>12000</v>
      </c>
      <c r="D1289" s="7" t="s">
        <v>18</v>
      </c>
      <c r="E1289" s="7" t="s">
        <v>19</v>
      </c>
    </row>
    <row r="1290" spans="1:5" ht="12.75">
      <c r="A1290" s="6" t="str">
        <f>HYPERLINK(SUBSTITUTE(T(hl_0),"{0}","322332052976684"),hn_0)</f>
        <v>ОВ</v>
      </c>
      <c r="B1290" s="7" t="s">
        <v>330</v>
      </c>
      <c r="C1290" s="8">
        <v>10000</v>
      </c>
      <c r="D1290" s="7" t="s">
        <v>331</v>
      </c>
      <c r="E1290" s="7" t="s">
        <v>47</v>
      </c>
    </row>
    <row r="1291" spans="1:5" ht="12.75">
      <c r="A1291" s="6" t="str">
        <f>HYPERLINK(SUBSTITUTE(T(hl_0),"{0}","327332679508874"),hn_0)</f>
        <v>ОВ</v>
      </c>
      <c r="B1291" s="7" t="s">
        <v>330</v>
      </c>
      <c r="C1291" s="8">
        <v>5000</v>
      </c>
      <c r="D1291" s="7" t="s">
        <v>11</v>
      </c>
      <c r="E1291" s="7" t="s">
        <v>12</v>
      </c>
    </row>
    <row r="1292" spans="1:5" ht="12.75">
      <c r="A1292" s="6" t="str">
        <f>HYPERLINK(SUBSTITUTE(T(hl_0),"{0}","327332148249293"),hn_0)</f>
        <v>ОВ</v>
      </c>
      <c r="B1292" s="7" t="s">
        <v>330</v>
      </c>
      <c r="C1292" s="8">
        <v>6500</v>
      </c>
      <c r="D1292" s="7" t="s">
        <v>11</v>
      </c>
      <c r="E1292" s="7" t="s">
        <v>12</v>
      </c>
    </row>
    <row r="1293" spans="1:5" ht="12.75">
      <c r="A1293" s="6" t="str">
        <f>HYPERLINK(SUBSTITUTE(T(hl_0),"{0}","329332247578811"),hn_0)</f>
        <v>ОВ</v>
      </c>
      <c r="B1293" s="7" t="s">
        <v>330</v>
      </c>
      <c r="C1293" s="8">
        <v>8000</v>
      </c>
      <c r="D1293" s="7" t="s">
        <v>42</v>
      </c>
      <c r="E1293" s="7" t="s">
        <v>43</v>
      </c>
    </row>
    <row r="1294" spans="1:5" ht="12.75">
      <c r="A1294" s="6" t="str">
        <f>HYPERLINK(SUBSTITUTE(T(hl_0),"{0}","330332556429218"),hn_0)</f>
        <v>ОВ</v>
      </c>
      <c r="B1294" s="7" t="s">
        <v>330</v>
      </c>
      <c r="C1294" s="8">
        <v>8000</v>
      </c>
      <c r="D1294" s="7" t="s">
        <v>44</v>
      </c>
      <c r="E1294" s="7" t="s">
        <v>29</v>
      </c>
    </row>
    <row r="1295" spans="1:5" ht="12.75">
      <c r="A1295" s="6" t="str">
        <f>HYPERLINK(SUBSTITUTE(T(hl_0),"{0}","900325470383978"),hn_0)</f>
        <v>ОВ</v>
      </c>
      <c r="B1295" s="7" t="s">
        <v>330</v>
      </c>
      <c r="C1295" s="8">
        <v>8000</v>
      </c>
      <c r="D1295" s="7" t="s">
        <v>11</v>
      </c>
      <c r="E1295" s="7" t="s">
        <v>20</v>
      </c>
    </row>
    <row r="1296" spans="1:5" ht="12.75">
      <c r="A1296" s="6" t="str">
        <f>HYPERLINK(SUBSTITUTE(T(hl_0),"{0}","900332146949149"),hn_0)</f>
        <v>ОВ</v>
      </c>
      <c r="B1296" s="7" t="s">
        <v>330</v>
      </c>
      <c r="C1296" s="8">
        <v>7000</v>
      </c>
      <c r="D1296" s="7" t="s">
        <v>11</v>
      </c>
      <c r="E1296" s="7" t="s">
        <v>20</v>
      </c>
    </row>
    <row r="1297" spans="1:5" ht="12.75">
      <c r="A1297" s="6" t="str">
        <f>HYPERLINK(SUBSTITUTE(T(hl_0),"{0}","900332247774263"),hn_0)</f>
        <v>ОВ</v>
      </c>
      <c r="B1297" s="7" t="s">
        <v>330</v>
      </c>
      <c r="C1297" s="8">
        <v>8000</v>
      </c>
      <c r="D1297" s="7" t="s">
        <v>11</v>
      </c>
      <c r="E1297" s="7" t="s">
        <v>20</v>
      </c>
    </row>
    <row r="1298" spans="1:5" ht="12.75">
      <c r="A1298" s="6" t="str">
        <f>HYPERLINK(SUBSTITUTE(T(hl_0),"{0}","900324876544555"),hn_0)</f>
        <v>ОВ</v>
      </c>
      <c r="B1298" s="7" t="s">
        <v>330</v>
      </c>
      <c r="C1298" s="8">
        <v>5500</v>
      </c>
      <c r="D1298" s="7" t="s">
        <v>11</v>
      </c>
      <c r="E1298" s="7" t="s">
        <v>20</v>
      </c>
    </row>
    <row r="1299" spans="1:5" ht="12.75">
      <c r="A1299" s="6" t="str">
        <f>HYPERLINK(SUBSTITUTE(T(hl_0),"{0}","900324876551555"),hn_0)</f>
        <v>ОВ</v>
      </c>
      <c r="B1299" s="7" t="s">
        <v>330</v>
      </c>
      <c r="C1299" s="8">
        <v>5500</v>
      </c>
      <c r="D1299" s="7" t="s">
        <v>11</v>
      </c>
      <c r="E1299" s="7" t="s">
        <v>20</v>
      </c>
    </row>
    <row r="1300" spans="1:5" ht="12.75">
      <c r="A1300" s="6" t="str">
        <f>HYPERLINK(SUBSTITUTE(T(hl_0),"{0}","900325181181541"),hn_0)</f>
        <v>ОВ</v>
      </c>
      <c r="B1300" s="7" t="s">
        <v>330</v>
      </c>
      <c r="C1300" s="8">
        <v>5500</v>
      </c>
      <c r="D1300" s="7" t="s">
        <v>11</v>
      </c>
      <c r="E1300" s="7" t="s">
        <v>20</v>
      </c>
    </row>
    <row r="1301" spans="1:5" ht="12.75">
      <c r="A1301" s="6" t="str">
        <f>HYPERLINK(SUBSTITUTE(T(hl_0),"{0}","900331029115620"),hn_0)</f>
        <v>ОВ</v>
      </c>
      <c r="B1301" s="7" t="s">
        <v>330</v>
      </c>
      <c r="C1301" s="8">
        <v>7000</v>
      </c>
      <c r="D1301" s="7" t="s">
        <v>11</v>
      </c>
      <c r="E1301" s="7" t="s">
        <v>20</v>
      </c>
    </row>
    <row r="1302" spans="1:5" ht="12.75">
      <c r="A1302" s="6" t="str">
        <f>HYPERLINK(SUBSTITUTE(T(hl_0),"{0}","900329567366697"),hn_0)</f>
        <v>ОВ</v>
      </c>
      <c r="B1302" s="7" t="s">
        <v>330</v>
      </c>
      <c r="C1302" s="8">
        <v>12000</v>
      </c>
      <c r="D1302" s="7" t="s">
        <v>34</v>
      </c>
      <c r="E1302" s="7" t="s">
        <v>20</v>
      </c>
    </row>
    <row r="1303" spans="1:5" ht="12.75">
      <c r="A1303" s="6" t="str">
        <f>HYPERLINK(SUBSTITUTE(T(hl_0),"{0}","900329567362861"),hn_0)</f>
        <v>ОВ</v>
      </c>
      <c r="B1303" s="7" t="s">
        <v>330</v>
      </c>
      <c r="C1303" s="8">
        <v>12000</v>
      </c>
      <c r="D1303" s="7" t="s">
        <v>34</v>
      </c>
      <c r="E1303" s="7" t="s">
        <v>20</v>
      </c>
    </row>
    <row r="1304" spans="1:5" ht="12.75">
      <c r="A1304" s="6" t="str">
        <f>HYPERLINK(SUBSTITUTE(T(hl_0),"{0}","900327917230207"),hn_0)</f>
        <v>ОВ</v>
      </c>
      <c r="B1304" s="7" t="s">
        <v>330</v>
      </c>
      <c r="C1304" s="8">
        <v>7000</v>
      </c>
      <c r="D1304" s="7" t="s">
        <v>11</v>
      </c>
      <c r="E1304" s="7" t="s">
        <v>20</v>
      </c>
    </row>
    <row r="1305" spans="1:5" ht="12.75">
      <c r="A1305" s="6" t="str">
        <f>HYPERLINK(SUBSTITUTE(T(hl_0),"{0}","900327837657680"),hn_0)</f>
        <v>ОВ</v>
      </c>
      <c r="B1305" s="7" t="s">
        <v>332</v>
      </c>
      <c r="C1305" s="8">
        <v>7300</v>
      </c>
      <c r="D1305" s="7" t="s">
        <v>11</v>
      </c>
      <c r="E1305" s="7" t="s">
        <v>20</v>
      </c>
    </row>
    <row r="1306" spans="1:5" ht="12.75">
      <c r="A1306" s="6" t="str">
        <f>HYPERLINK(SUBSTITUTE(T(hl_0),"{0}","900331341743064"),hn_0)</f>
        <v>ОВ</v>
      </c>
      <c r="B1306" s="7" t="s">
        <v>333</v>
      </c>
      <c r="C1306" s="8">
        <v>7536</v>
      </c>
      <c r="D1306" s="7" t="s">
        <v>11</v>
      </c>
      <c r="E1306" s="7" t="s">
        <v>20</v>
      </c>
    </row>
    <row r="1307" spans="1:5" ht="12.75">
      <c r="A1307" s="6" t="str">
        <f>HYPERLINK(SUBSTITUTE(T(hl_0),"{0}","900324876558004"),hn_0)</f>
        <v>ОВ</v>
      </c>
      <c r="B1307" s="7" t="s">
        <v>334</v>
      </c>
      <c r="C1307" s="8">
        <v>5500</v>
      </c>
      <c r="D1307" s="7" t="s">
        <v>11</v>
      </c>
      <c r="E1307" s="7" t="s">
        <v>20</v>
      </c>
    </row>
    <row r="1308" spans="1:5" ht="12.75">
      <c r="A1308" s="6" t="str">
        <f>HYPERLINK(SUBSTITUTE(T(hl_0),"{0}","321331818695131"),hn_0)</f>
        <v>ОВ</v>
      </c>
      <c r="B1308" s="7" t="s">
        <v>335</v>
      </c>
      <c r="C1308" s="8">
        <v>5200</v>
      </c>
      <c r="D1308" s="7" t="s">
        <v>18</v>
      </c>
      <c r="E1308" s="7" t="s">
        <v>19</v>
      </c>
    </row>
    <row r="1309" spans="1:5" ht="12.75">
      <c r="A1309" s="6" t="str">
        <f>HYPERLINK(SUBSTITUTE(T(hl_0),"{0}","325332732726621"),hn_0)</f>
        <v>ОВ</v>
      </c>
      <c r="B1309" s="7" t="s">
        <v>335</v>
      </c>
      <c r="C1309" s="8">
        <v>10200</v>
      </c>
      <c r="D1309" s="7" t="s">
        <v>201</v>
      </c>
      <c r="E1309" s="7" t="s">
        <v>27</v>
      </c>
    </row>
    <row r="1310" spans="1:5" ht="12.75">
      <c r="A1310" s="6" t="str">
        <f>HYPERLINK(SUBSTITUTE(T(hl_0),"{0}","325331875415087"),hn_0)</f>
        <v>ОВ</v>
      </c>
      <c r="B1310" s="7" t="s">
        <v>335</v>
      </c>
      <c r="C1310" s="8">
        <v>7500</v>
      </c>
      <c r="D1310" s="7" t="s">
        <v>11</v>
      </c>
      <c r="E1310" s="7" t="s">
        <v>27</v>
      </c>
    </row>
    <row r="1311" spans="1:5" ht="12.75">
      <c r="A1311" s="6" t="str">
        <f>HYPERLINK(SUBSTITUTE(T(hl_0),"{0}","325331875386149"),hn_0)</f>
        <v>ОВ</v>
      </c>
      <c r="B1311" s="7" t="s">
        <v>335</v>
      </c>
      <c r="C1311" s="8">
        <v>7500</v>
      </c>
      <c r="D1311" s="7" t="s">
        <v>11</v>
      </c>
      <c r="E1311" s="7" t="s">
        <v>27</v>
      </c>
    </row>
    <row r="1312" spans="1:5" ht="12.75">
      <c r="A1312" s="6" t="str">
        <f>HYPERLINK(SUBSTITUTE(T(hl_0),"{0}","325332341070167"),hn_0)</f>
        <v>ОВ</v>
      </c>
      <c r="B1312" s="7" t="s">
        <v>335</v>
      </c>
      <c r="C1312" s="8">
        <v>8000</v>
      </c>
      <c r="D1312" s="7" t="s">
        <v>34</v>
      </c>
      <c r="E1312" s="7" t="s">
        <v>27</v>
      </c>
    </row>
    <row r="1313" spans="1:5" ht="12.75">
      <c r="A1313" s="6" t="str">
        <f>HYPERLINK(SUBSTITUTE(T(hl_0),"{0}","326330436156596"),hn_0)</f>
        <v>ОВ</v>
      </c>
      <c r="B1313" s="7" t="s">
        <v>335</v>
      </c>
      <c r="C1313" s="8">
        <v>7500</v>
      </c>
      <c r="D1313" s="7" t="s">
        <v>336</v>
      </c>
      <c r="E1313" s="7" t="s">
        <v>40</v>
      </c>
    </row>
    <row r="1314" spans="1:5" ht="12.75">
      <c r="A1314" s="6" t="str">
        <f>HYPERLINK(SUBSTITUTE(T(hl_0),"{0}","900332734155748"),hn_0)</f>
        <v>ОВ</v>
      </c>
      <c r="B1314" s="7" t="s">
        <v>335</v>
      </c>
      <c r="C1314" s="8">
        <v>8000</v>
      </c>
      <c r="D1314" s="7" t="s">
        <v>11</v>
      </c>
      <c r="E1314" s="7" t="s">
        <v>20</v>
      </c>
    </row>
    <row r="1315" spans="1:5" ht="12.75">
      <c r="A1315" s="6" t="str">
        <f>HYPERLINK(SUBSTITUTE(T(hl_0),"{0}","900332675849514"),hn_0)</f>
        <v>ОВ</v>
      </c>
      <c r="B1315" s="7" t="s">
        <v>335</v>
      </c>
      <c r="C1315" s="8">
        <v>6000</v>
      </c>
      <c r="D1315" s="7" t="s">
        <v>11</v>
      </c>
      <c r="E1315" s="7" t="s">
        <v>20</v>
      </c>
    </row>
    <row r="1316" spans="1:5" ht="12.75">
      <c r="A1316" s="6" t="str">
        <f>HYPERLINK(SUBSTITUTE(T(hl_0),"{0}","900327207150168"),hn_0)</f>
        <v>ОВ</v>
      </c>
      <c r="B1316" s="7" t="s">
        <v>335</v>
      </c>
      <c r="C1316" s="8">
        <v>5140</v>
      </c>
      <c r="D1316" s="7" t="s">
        <v>11</v>
      </c>
      <c r="E1316" s="7" t="s">
        <v>20</v>
      </c>
    </row>
    <row r="1317" spans="1:5" ht="12.75">
      <c r="A1317" s="6" t="str">
        <f>HYPERLINK(SUBSTITUTE(T(hl_0),"{0}","321332146814663"),hn_0)</f>
        <v>ОВ</v>
      </c>
      <c r="B1317" s="7" t="s">
        <v>337</v>
      </c>
      <c r="C1317" s="8">
        <v>5500</v>
      </c>
      <c r="D1317" s="7" t="s">
        <v>18</v>
      </c>
      <c r="E1317" s="7" t="s">
        <v>19</v>
      </c>
    </row>
    <row r="1318" spans="1:5" ht="12.75">
      <c r="A1318" s="6" t="str">
        <f>HYPERLINK(SUBSTITUTE(T(hl_0),"{0}","330332223928377"),hn_0)</f>
        <v>ОВ</v>
      </c>
      <c r="B1318" s="7" t="s">
        <v>337</v>
      </c>
      <c r="C1318" s="8">
        <v>6000</v>
      </c>
      <c r="D1318" s="7" t="s">
        <v>28</v>
      </c>
      <c r="E1318" s="7" t="s">
        <v>29</v>
      </c>
    </row>
    <row r="1319" spans="1:5" ht="12.75">
      <c r="A1319" s="6" t="str">
        <f>HYPERLINK(SUBSTITUTE(T(hl_0),"{0}","330332315842833"),hn_0)</f>
        <v>ОВ</v>
      </c>
      <c r="B1319" s="7" t="s">
        <v>337</v>
      </c>
      <c r="C1319" s="8">
        <v>8000</v>
      </c>
      <c r="D1319" s="7" t="s">
        <v>252</v>
      </c>
      <c r="E1319" s="7" t="s">
        <v>29</v>
      </c>
    </row>
    <row r="1320" spans="1:5" ht="12.75">
      <c r="A1320" s="6" t="str">
        <f>HYPERLINK(SUBSTITUTE(T(hl_0),"{0}","330332223485434"),hn_0)</f>
        <v>ОВ</v>
      </c>
      <c r="B1320" s="7" t="s">
        <v>337</v>
      </c>
      <c r="C1320" s="8">
        <v>8000</v>
      </c>
      <c r="D1320" s="7" t="s">
        <v>338</v>
      </c>
      <c r="E1320" s="7" t="s">
        <v>29</v>
      </c>
    </row>
    <row r="1321" spans="1:5" ht="12.75">
      <c r="A1321" s="6" t="str">
        <f>HYPERLINK(SUBSTITUTE(T(hl_0),"{0}","900332583630387"),hn_0)</f>
        <v>ОВ</v>
      </c>
      <c r="B1321" s="7" t="s">
        <v>339</v>
      </c>
      <c r="C1321" s="8">
        <v>7000</v>
      </c>
      <c r="D1321" s="7" t="s">
        <v>11</v>
      </c>
      <c r="E1321" s="7" t="s">
        <v>20</v>
      </c>
    </row>
    <row r="1322" spans="1:5" ht="12.75">
      <c r="A1322" s="6" t="str">
        <f>HYPERLINK(SUBSTITUTE(T(hl_0),"{0}","900332734100263"),hn_0)</f>
        <v>ОВ</v>
      </c>
      <c r="B1322" s="7" t="s">
        <v>340</v>
      </c>
      <c r="C1322" s="8">
        <v>7000</v>
      </c>
      <c r="D1322" s="7" t="s">
        <v>11</v>
      </c>
      <c r="E1322" s="7" t="s">
        <v>20</v>
      </c>
    </row>
    <row r="1323" spans="1:5" ht="12.75">
      <c r="A1323" s="6" t="str">
        <f>HYPERLINK(SUBSTITUTE(T(hl_0),"{0}","900332317910703"),hn_0)</f>
        <v>ОВ</v>
      </c>
      <c r="B1323" s="7" t="s">
        <v>340</v>
      </c>
      <c r="C1323" s="8">
        <v>7000</v>
      </c>
      <c r="D1323" s="7" t="s">
        <v>11</v>
      </c>
      <c r="E1323" s="7" t="s">
        <v>20</v>
      </c>
    </row>
    <row r="1324" spans="1:5" ht="12.75">
      <c r="A1324" s="6" t="str">
        <f>HYPERLINK(SUBSTITUTE(T(hl_0),"{0}","900331996486890"),hn_0)</f>
        <v>ОВ</v>
      </c>
      <c r="B1324" s="7" t="s">
        <v>340</v>
      </c>
      <c r="C1324" s="8">
        <v>5000</v>
      </c>
      <c r="D1324" s="7" t="s">
        <v>11</v>
      </c>
      <c r="E1324" s="7" t="s">
        <v>20</v>
      </c>
    </row>
    <row r="1325" spans="1:5" ht="12.75">
      <c r="A1325" s="6" t="str">
        <f>HYPERLINK(SUBSTITUTE(T(hl_0),"{0}","900330468098732"),hn_0)</f>
        <v>ОВ</v>
      </c>
      <c r="B1325" s="7" t="s">
        <v>341</v>
      </c>
      <c r="C1325" s="8">
        <v>5000</v>
      </c>
      <c r="D1325" s="7" t="s">
        <v>11</v>
      </c>
      <c r="E1325" s="7" t="s">
        <v>20</v>
      </c>
    </row>
    <row r="1326" spans="1:5" ht="12.75">
      <c r="A1326" s="6" t="str">
        <f>HYPERLINK(SUBSTITUTE(T(hl_0),"{0}","900331791186457"),hn_0)</f>
        <v>ОВ</v>
      </c>
      <c r="B1326" s="7" t="s">
        <v>342</v>
      </c>
      <c r="C1326" s="8">
        <v>7000</v>
      </c>
      <c r="D1326" s="7" t="s">
        <v>11</v>
      </c>
      <c r="E1326" s="7" t="s">
        <v>20</v>
      </c>
    </row>
    <row r="1327" spans="1:5" ht="12.75">
      <c r="A1327" s="6" t="str">
        <f>HYPERLINK(SUBSTITUTE(T(hl_0),"{0}","330332680251180"),hn_0)</f>
        <v>ОВ</v>
      </c>
      <c r="B1327" s="7" t="s">
        <v>343</v>
      </c>
      <c r="C1327" s="8">
        <v>10000</v>
      </c>
      <c r="D1327" s="7" t="s">
        <v>44</v>
      </c>
      <c r="E1327" s="7" t="s">
        <v>29</v>
      </c>
    </row>
    <row r="1328" spans="1:5" ht="12.75">
      <c r="A1328" s="6" t="str">
        <f>HYPERLINK(SUBSTITUTE(T(hl_0),"{0}","900332759389570"),hn_0)</f>
        <v>ОВ</v>
      </c>
      <c r="B1328" s="7" t="s">
        <v>344</v>
      </c>
      <c r="C1328" s="8">
        <v>12000</v>
      </c>
      <c r="D1328" s="7" t="s">
        <v>11</v>
      </c>
      <c r="E1328" s="7" t="s">
        <v>20</v>
      </c>
    </row>
    <row r="1329" spans="1:5" ht="12.75">
      <c r="A1329" s="6" t="str">
        <f>HYPERLINK(SUBSTITUTE(T(hl_0),"{0}","900332000692274"),hn_0)</f>
        <v>ОВ</v>
      </c>
      <c r="B1329" s="7" t="s">
        <v>345</v>
      </c>
      <c r="C1329" s="8">
        <v>5000</v>
      </c>
      <c r="D1329" s="7" t="s">
        <v>11</v>
      </c>
      <c r="E1329" s="7" t="s">
        <v>20</v>
      </c>
    </row>
    <row r="1330" spans="1:5" ht="12.75">
      <c r="A1330" s="6" t="str">
        <f>HYPERLINK(SUBSTITUTE(T(hl_0),"{0}","319330166320233"),hn_0)</f>
        <v>ОВ</v>
      </c>
      <c r="B1330" s="7" t="s">
        <v>346</v>
      </c>
      <c r="C1330" s="8">
        <v>11000</v>
      </c>
      <c r="D1330" s="7" t="s">
        <v>14</v>
      </c>
      <c r="E1330" s="7" t="s">
        <v>15</v>
      </c>
    </row>
    <row r="1331" spans="1:5" ht="12.75">
      <c r="A1331" s="6" t="str">
        <f>HYPERLINK(SUBSTITUTE(T(hl_0),"{0}","321331649063833"),hn_0)</f>
        <v>ОВ</v>
      </c>
      <c r="B1331" s="7" t="s">
        <v>346</v>
      </c>
      <c r="C1331" s="8">
        <v>6000</v>
      </c>
      <c r="D1331" s="7" t="s">
        <v>18</v>
      </c>
      <c r="E1331" s="7" t="s">
        <v>19</v>
      </c>
    </row>
    <row r="1332" spans="1:5" ht="12.75">
      <c r="A1332" s="6" t="str">
        <f>HYPERLINK(SUBSTITUTE(T(hl_0),"{0}","325332341035816"),hn_0)</f>
        <v>ОВ</v>
      </c>
      <c r="B1332" s="7" t="s">
        <v>346</v>
      </c>
      <c r="C1332" s="8">
        <v>8000</v>
      </c>
      <c r="D1332" s="7" t="s">
        <v>34</v>
      </c>
      <c r="E1332" s="7" t="s">
        <v>27</v>
      </c>
    </row>
    <row r="1333" spans="1:5" ht="12.75">
      <c r="A1333" s="6" t="str">
        <f>HYPERLINK(SUBSTITUTE(T(hl_0),"{0}","900332529462627"),hn_0)</f>
        <v>ОВ</v>
      </c>
      <c r="B1333" s="7" t="s">
        <v>346</v>
      </c>
      <c r="C1333" s="8">
        <v>13000</v>
      </c>
      <c r="D1333" s="7" t="s">
        <v>11</v>
      </c>
      <c r="E1333" s="7" t="s">
        <v>20</v>
      </c>
    </row>
    <row r="1334" spans="1:5" ht="12.75">
      <c r="A1334" s="6" t="str">
        <f>HYPERLINK(SUBSTITUTE(T(hl_0),"{0}","900332678837432"),hn_0)</f>
        <v>ОВ</v>
      </c>
      <c r="B1334" s="7" t="s">
        <v>346</v>
      </c>
      <c r="C1334" s="8">
        <v>10000</v>
      </c>
      <c r="D1334" s="7" t="s">
        <v>11</v>
      </c>
      <c r="E1334" s="7" t="s">
        <v>20</v>
      </c>
    </row>
    <row r="1335" spans="1:5" ht="12.75">
      <c r="A1335" s="6" t="str">
        <f>HYPERLINK(SUBSTITUTE(T(hl_0),"{0}","900332077405463"),hn_0)</f>
        <v>ОВ</v>
      </c>
      <c r="B1335" s="7" t="s">
        <v>346</v>
      </c>
      <c r="C1335" s="8">
        <v>8000</v>
      </c>
      <c r="D1335" s="7" t="s">
        <v>11</v>
      </c>
      <c r="E1335" s="7" t="s">
        <v>20</v>
      </c>
    </row>
    <row r="1336" spans="1:5" ht="12.75">
      <c r="A1336" s="6" t="str">
        <f>HYPERLINK(SUBSTITUTE(T(hl_0),"{0}","900331651387811"),hn_0)</f>
        <v>ОВ</v>
      </c>
      <c r="B1336" s="7" t="s">
        <v>347</v>
      </c>
      <c r="C1336" s="8">
        <v>7500</v>
      </c>
      <c r="D1336" s="7" t="s">
        <v>11</v>
      </c>
      <c r="E1336" s="7" t="s">
        <v>20</v>
      </c>
    </row>
    <row r="1337" spans="1:5" ht="12.75">
      <c r="A1337" s="6" t="str">
        <f>HYPERLINK(SUBSTITUTE(T(hl_0),"{0}","332332647748861"),hn_0)</f>
        <v>ОВ</v>
      </c>
      <c r="B1337" s="7" t="s">
        <v>348</v>
      </c>
      <c r="C1337" s="8">
        <v>2500</v>
      </c>
      <c r="D1337" s="7" t="s">
        <v>30</v>
      </c>
      <c r="E1337" s="7" t="s">
        <v>31</v>
      </c>
    </row>
    <row r="1338" spans="1:5" ht="12.75">
      <c r="A1338" s="6" t="str">
        <f>HYPERLINK(SUBSTITUTE(T(hl_0),"{0}","319332759912052"),hn_0)</f>
        <v>ОВ</v>
      </c>
      <c r="B1338" s="7" t="s">
        <v>349</v>
      </c>
      <c r="C1338" s="8">
        <v>8000</v>
      </c>
      <c r="D1338" s="7" t="s">
        <v>14</v>
      </c>
      <c r="E1338" s="7" t="s">
        <v>15</v>
      </c>
    </row>
    <row r="1339" spans="1:5" ht="12.75">
      <c r="A1339" s="6" t="str">
        <f>HYPERLINK(SUBSTITUTE(T(hl_0),"{0}","319332761196043"),hn_0)</f>
        <v>ОВ</v>
      </c>
      <c r="B1339" s="7" t="s">
        <v>349</v>
      </c>
      <c r="C1339" s="8">
        <v>7000</v>
      </c>
      <c r="D1339" s="7" t="s">
        <v>14</v>
      </c>
      <c r="E1339" s="7" t="s">
        <v>15</v>
      </c>
    </row>
    <row r="1340" spans="1:5" ht="25.5">
      <c r="A1340" s="6" t="str">
        <f>HYPERLINK(SUBSTITUTE(T(hl_0),"{0}","320332417363871"),hn_0)</f>
        <v>ОВ</v>
      </c>
      <c r="B1340" s="7" t="s">
        <v>349</v>
      </c>
      <c r="C1340" s="8">
        <v>9000</v>
      </c>
      <c r="D1340" s="7" t="s">
        <v>16</v>
      </c>
      <c r="E1340" s="7" t="s">
        <v>17</v>
      </c>
    </row>
    <row r="1341" spans="1:5" ht="12.75">
      <c r="A1341" s="6" t="str">
        <f>HYPERLINK(SUBSTITUTE(T(hl_0),"{0}","321332675364774"),hn_0)</f>
        <v>ОВ</v>
      </c>
      <c r="B1341" s="7" t="s">
        <v>349</v>
      </c>
      <c r="C1341" s="8">
        <v>6000</v>
      </c>
      <c r="D1341" s="7" t="s">
        <v>18</v>
      </c>
      <c r="E1341" s="7" t="s">
        <v>19</v>
      </c>
    </row>
    <row r="1342" spans="1:5" ht="12.75">
      <c r="A1342" s="6" t="str">
        <f>HYPERLINK(SUBSTITUTE(T(hl_0),"{0}","321331676447856"),hn_0)</f>
        <v>ОВ</v>
      </c>
      <c r="B1342" s="7" t="s">
        <v>349</v>
      </c>
      <c r="C1342" s="8">
        <v>5000</v>
      </c>
      <c r="D1342" s="7" t="s">
        <v>18</v>
      </c>
      <c r="E1342" s="7" t="s">
        <v>19</v>
      </c>
    </row>
    <row r="1343" spans="1:5" ht="12.75">
      <c r="A1343" s="6" t="str">
        <f>HYPERLINK(SUBSTITUTE(T(hl_0),"{0}","321332319105052"),hn_0)</f>
        <v>ОВ</v>
      </c>
      <c r="B1343" s="7" t="s">
        <v>349</v>
      </c>
      <c r="C1343" s="8">
        <v>6000</v>
      </c>
      <c r="D1343" s="7" t="s">
        <v>350</v>
      </c>
      <c r="E1343" s="7" t="s">
        <v>19</v>
      </c>
    </row>
    <row r="1344" spans="1:5" ht="12.75">
      <c r="A1344" s="6" t="str">
        <f>HYPERLINK(SUBSTITUTE(T(hl_0),"{0}","321327315290696"),hn_0)</f>
        <v>ОВ</v>
      </c>
      <c r="B1344" s="7" t="s">
        <v>349</v>
      </c>
      <c r="C1344" s="8">
        <v>7000</v>
      </c>
      <c r="D1344" s="7" t="s">
        <v>18</v>
      </c>
      <c r="E1344" s="7" t="s">
        <v>19</v>
      </c>
    </row>
    <row r="1345" spans="1:5" ht="12.75">
      <c r="A1345" s="6" t="str">
        <f>HYPERLINK(SUBSTITUTE(T(hl_0),"{0}","321329805982120"),hn_0)</f>
        <v>ОВ</v>
      </c>
      <c r="B1345" s="7" t="s">
        <v>349</v>
      </c>
      <c r="C1345" s="8">
        <v>7000</v>
      </c>
      <c r="D1345" s="7" t="s">
        <v>351</v>
      </c>
      <c r="E1345" s="7" t="s">
        <v>19</v>
      </c>
    </row>
    <row r="1346" spans="1:5" ht="12.75">
      <c r="A1346" s="6" t="str">
        <f>HYPERLINK(SUBSTITUTE(T(hl_0),"{0}","322331534110732"),hn_0)</f>
        <v>ОВ</v>
      </c>
      <c r="B1346" s="7" t="s">
        <v>349</v>
      </c>
      <c r="C1346" s="8">
        <v>6000</v>
      </c>
      <c r="D1346" s="7" t="s">
        <v>352</v>
      </c>
      <c r="E1346" s="7" t="s">
        <v>47</v>
      </c>
    </row>
    <row r="1347" spans="1:5" ht="12.75">
      <c r="A1347" s="6" t="str">
        <f>HYPERLINK(SUBSTITUTE(T(hl_0),"{0}","325332053809235"),hn_0)</f>
        <v>ОВ</v>
      </c>
      <c r="B1347" s="7" t="s">
        <v>349</v>
      </c>
      <c r="C1347" s="8">
        <v>8300</v>
      </c>
      <c r="D1347" s="7" t="s">
        <v>34</v>
      </c>
      <c r="E1347" s="7" t="s">
        <v>27</v>
      </c>
    </row>
    <row r="1348" spans="1:5" ht="12.75">
      <c r="A1348" s="6" t="str">
        <f>HYPERLINK(SUBSTITUTE(T(hl_0),"{0}","325326928155867"),hn_0)</f>
        <v>ОВ</v>
      </c>
      <c r="B1348" s="7" t="s">
        <v>349</v>
      </c>
      <c r="C1348" s="8">
        <v>8000</v>
      </c>
      <c r="D1348" s="7" t="s">
        <v>34</v>
      </c>
      <c r="E1348" s="7" t="s">
        <v>27</v>
      </c>
    </row>
    <row r="1349" spans="1:5" ht="12.75">
      <c r="A1349" s="6" t="str">
        <f>HYPERLINK(SUBSTITUTE(T(hl_0),"{0}","326332504970248"),hn_0)</f>
        <v>ОВ</v>
      </c>
      <c r="B1349" s="7" t="s">
        <v>349</v>
      </c>
      <c r="C1349" s="8">
        <v>6000</v>
      </c>
      <c r="D1349" s="7" t="s">
        <v>206</v>
      </c>
      <c r="E1349" s="7" t="s">
        <v>40</v>
      </c>
    </row>
    <row r="1350" spans="1:5" ht="12.75">
      <c r="A1350" s="6" t="str">
        <f>HYPERLINK(SUBSTITUTE(T(hl_0),"{0}","326331455574471"),hn_0)</f>
        <v>ОВ</v>
      </c>
      <c r="B1350" s="7" t="s">
        <v>349</v>
      </c>
      <c r="C1350" s="8">
        <v>6000</v>
      </c>
      <c r="D1350" s="7" t="s">
        <v>206</v>
      </c>
      <c r="E1350" s="7" t="s">
        <v>40</v>
      </c>
    </row>
    <row r="1351" spans="1:5" ht="12.75">
      <c r="A1351" s="6" t="str">
        <f>HYPERLINK(SUBSTITUTE(T(hl_0),"{0}","327331676249898"),hn_0)</f>
        <v>ОВ</v>
      </c>
      <c r="B1351" s="7" t="s">
        <v>349</v>
      </c>
      <c r="C1351" s="8">
        <v>8000</v>
      </c>
      <c r="D1351" s="7" t="s">
        <v>353</v>
      </c>
      <c r="E1351" s="7" t="s">
        <v>12</v>
      </c>
    </row>
    <row r="1352" spans="1:5" ht="12.75">
      <c r="A1352" s="6" t="str">
        <f>HYPERLINK(SUBSTITUTE(T(hl_0),"{0}","330327074263559"),hn_0)</f>
        <v>ОВ</v>
      </c>
      <c r="B1352" s="7" t="s">
        <v>349</v>
      </c>
      <c r="C1352" s="8">
        <v>10000</v>
      </c>
      <c r="D1352" s="7" t="s">
        <v>44</v>
      </c>
      <c r="E1352" s="7" t="s">
        <v>29</v>
      </c>
    </row>
    <row r="1353" spans="1:5" ht="12.75">
      <c r="A1353" s="6" t="str">
        <f>HYPERLINK(SUBSTITUTE(T(hl_0),"{0}","330327074263559"),hn_0)</f>
        <v>ОВ</v>
      </c>
      <c r="B1353" s="7" t="s">
        <v>349</v>
      </c>
      <c r="C1353" s="8">
        <v>10000</v>
      </c>
      <c r="D1353" s="7" t="s">
        <v>44</v>
      </c>
      <c r="E1353" s="7" t="s">
        <v>29</v>
      </c>
    </row>
    <row r="1354" spans="1:5" ht="12.75">
      <c r="A1354" s="6" t="str">
        <f>HYPERLINK(SUBSTITUTE(T(hl_0),"{0}","331330464722427"),hn_0)</f>
        <v>ОВ</v>
      </c>
      <c r="B1354" s="7" t="s">
        <v>349</v>
      </c>
      <c r="C1354" s="8">
        <v>8000</v>
      </c>
      <c r="D1354" s="7" t="s">
        <v>37</v>
      </c>
      <c r="E1354" s="7" t="s">
        <v>195</v>
      </c>
    </row>
    <row r="1355" spans="1:5" ht="12.75">
      <c r="A1355" s="6" t="str">
        <f>HYPERLINK(SUBSTITUTE(T(hl_0),"{0}","900332734313542"),hn_0)</f>
        <v>ОВ</v>
      </c>
      <c r="B1355" s="7" t="s">
        <v>349</v>
      </c>
      <c r="C1355" s="8">
        <v>7000</v>
      </c>
      <c r="D1355" s="7" t="s">
        <v>11</v>
      </c>
      <c r="E1355" s="7" t="s">
        <v>20</v>
      </c>
    </row>
    <row r="1356" spans="1:5" ht="12.75">
      <c r="A1356" s="6" t="str">
        <f>HYPERLINK(SUBSTITUTE(T(hl_0),"{0}","900332734313542"),hn_0)</f>
        <v>ОВ</v>
      </c>
      <c r="B1356" s="7" t="s">
        <v>349</v>
      </c>
      <c r="C1356" s="8">
        <v>7000</v>
      </c>
      <c r="D1356" s="7" t="s">
        <v>11</v>
      </c>
      <c r="E1356" s="7" t="s">
        <v>20</v>
      </c>
    </row>
    <row r="1357" spans="1:5" ht="12.75">
      <c r="A1357" s="6" t="str">
        <f>HYPERLINK(SUBSTITUTE(T(hl_0),"{0}","900332170546363"),hn_0)</f>
        <v>ОВ</v>
      </c>
      <c r="B1357" s="7" t="s">
        <v>349</v>
      </c>
      <c r="C1357" s="8">
        <v>8000</v>
      </c>
      <c r="D1357" s="7" t="s">
        <v>354</v>
      </c>
      <c r="E1357" s="7" t="s">
        <v>20</v>
      </c>
    </row>
    <row r="1358" spans="1:5" ht="12.75">
      <c r="A1358" s="6" t="str">
        <f>HYPERLINK(SUBSTITUTE(T(hl_0),"{0}","900332170546363"),hn_0)</f>
        <v>ОВ</v>
      </c>
      <c r="B1358" s="7" t="s">
        <v>349</v>
      </c>
      <c r="C1358" s="8">
        <v>8000</v>
      </c>
      <c r="D1358" s="7" t="s">
        <v>354</v>
      </c>
      <c r="E1358" s="7" t="s">
        <v>20</v>
      </c>
    </row>
    <row r="1359" spans="1:5" ht="12.75">
      <c r="A1359" s="6" t="str">
        <f>HYPERLINK(SUBSTITUTE(T(hl_0),"{0}","900332172711647"),hn_0)</f>
        <v>ОВ</v>
      </c>
      <c r="B1359" s="7" t="s">
        <v>349</v>
      </c>
      <c r="C1359" s="8">
        <v>5000</v>
      </c>
      <c r="D1359" s="7" t="s">
        <v>11</v>
      </c>
      <c r="E1359" s="7" t="s">
        <v>20</v>
      </c>
    </row>
    <row r="1360" spans="1:5" ht="12.75">
      <c r="A1360" s="6" t="str">
        <f>HYPERLINK(SUBSTITUTE(T(hl_0),"{0}","900332172711647"),hn_0)</f>
        <v>ОВ</v>
      </c>
      <c r="B1360" s="7" t="s">
        <v>349</v>
      </c>
      <c r="C1360" s="8">
        <v>5000</v>
      </c>
      <c r="D1360" s="7" t="s">
        <v>11</v>
      </c>
      <c r="E1360" s="7" t="s">
        <v>20</v>
      </c>
    </row>
    <row r="1361" spans="1:5" ht="12.75">
      <c r="A1361" s="6" t="str">
        <f>HYPERLINK(SUBSTITUTE(T(hl_0),"{0}","900331794754956"),hn_0)</f>
        <v>ОВ</v>
      </c>
      <c r="B1361" s="7" t="s">
        <v>349</v>
      </c>
      <c r="C1361" s="8">
        <v>9000</v>
      </c>
      <c r="D1361" s="7" t="s">
        <v>11</v>
      </c>
      <c r="E1361" s="7" t="s">
        <v>20</v>
      </c>
    </row>
    <row r="1362" spans="1:5" ht="12.75">
      <c r="A1362" s="6" t="str">
        <f>HYPERLINK(SUBSTITUTE(T(hl_0),"{0}","900332172711661"),hn_0)</f>
        <v>ОВ</v>
      </c>
      <c r="B1362" s="7" t="s">
        <v>349</v>
      </c>
      <c r="C1362" s="8">
        <v>5000</v>
      </c>
      <c r="D1362" s="7" t="s">
        <v>11</v>
      </c>
      <c r="E1362" s="7" t="s">
        <v>20</v>
      </c>
    </row>
    <row r="1363" spans="1:5" ht="12.75">
      <c r="A1363" s="6" t="str">
        <f>HYPERLINK(SUBSTITUTE(T(hl_0),"{0}","900332172711661"),hn_0)</f>
        <v>ОВ</v>
      </c>
      <c r="B1363" s="7" t="s">
        <v>349</v>
      </c>
      <c r="C1363" s="8">
        <v>5000</v>
      </c>
      <c r="D1363" s="7" t="s">
        <v>11</v>
      </c>
      <c r="E1363" s="7" t="s">
        <v>20</v>
      </c>
    </row>
    <row r="1364" spans="1:5" ht="12.75">
      <c r="A1364" s="6" t="str">
        <f>HYPERLINK(SUBSTITUTE(T(hl_0),"{0}","900332826292385"),hn_0)</f>
        <v>ОВ</v>
      </c>
      <c r="B1364" s="7" t="s">
        <v>355</v>
      </c>
      <c r="C1364" s="8">
        <v>10000</v>
      </c>
      <c r="D1364" s="7" t="s">
        <v>11</v>
      </c>
      <c r="E1364" s="7" t="s">
        <v>20</v>
      </c>
    </row>
    <row r="1365" spans="1:5" ht="12.75">
      <c r="A1365" s="6" t="str">
        <f>HYPERLINK(SUBSTITUTE(T(hl_0),"{0}","900332647793301"),hn_0)</f>
        <v>ОВ</v>
      </c>
      <c r="B1365" s="7" t="s">
        <v>356</v>
      </c>
      <c r="C1365" s="8">
        <v>7000</v>
      </c>
      <c r="D1365" s="7" t="s">
        <v>11</v>
      </c>
      <c r="E1365" s="7" t="s">
        <v>20</v>
      </c>
    </row>
    <row r="1366" spans="1:5" ht="12.75">
      <c r="A1366" s="6" t="str">
        <f>HYPERLINK(SUBSTITUTE(T(hl_0),"{0}","900329942047813"),hn_0)</f>
        <v>ОВ</v>
      </c>
      <c r="B1366" s="7" t="s">
        <v>356</v>
      </c>
      <c r="C1366" s="8">
        <v>7000</v>
      </c>
      <c r="D1366" s="7" t="s">
        <v>11</v>
      </c>
      <c r="E1366" s="7" t="s">
        <v>20</v>
      </c>
    </row>
    <row r="1367" spans="1:5" ht="12.75">
      <c r="A1367" s="6" t="str">
        <f>HYPERLINK(SUBSTITUTE(T(hl_0),"{0}","900329942103738"),hn_0)</f>
        <v>ОВ</v>
      </c>
      <c r="B1367" s="7" t="s">
        <v>356</v>
      </c>
      <c r="C1367" s="8">
        <v>7000</v>
      </c>
      <c r="D1367" s="7" t="s">
        <v>11</v>
      </c>
      <c r="E1367" s="7" t="s">
        <v>20</v>
      </c>
    </row>
    <row r="1368" spans="1:5" ht="12.75">
      <c r="A1368" s="6" t="str">
        <f>HYPERLINK(SUBSTITUTE(T(hl_0),"{0}","324332503857950"),hn_0)</f>
        <v>ОВ</v>
      </c>
      <c r="B1368" s="7" t="s">
        <v>357</v>
      </c>
      <c r="C1368" s="8">
        <v>5000</v>
      </c>
      <c r="D1368" s="7" t="s">
        <v>358</v>
      </c>
      <c r="E1368" s="7" t="s">
        <v>190</v>
      </c>
    </row>
    <row r="1369" spans="1:5" ht="12.75">
      <c r="A1369" s="6" t="str">
        <f>HYPERLINK(SUBSTITUTE(T(hl_0),"{0}","325327988658289"),hn_0)</f>
        <v>ОВ</v>
      </c>
      <c r="B1369" s="7" t="s">
        <v>357</v>
      </c>
      <c r="C1369" s="8">
        <v>5000</v>
      </c>
      <c r="D1369" s="7" t="s">
        <v>359</v>
      </c>
      <c r="E1369" s="7" t="s">
        <v>27</v>
      </c>
    </row>
    <row r="1370" spans="1:5" ht="12.75">
      <c r="A1370" s="6" t="str">
        <f>HYPERLINK(SUBSTITUTE(T(hl_0),"{0}","900331651623437"),hn_0)</f>
        <v>ОВ</v>
      </c>
      <c r="B1370" s="7" t="s">
        <v>357</v>
      </c>
      <c r="C1370" s="8">
        <v>5660</v>
      </c>
      <c r="D1370" s="7" t="s">
        <v>53</v>
      </c>
      <c r="E1370" s="7" t="s">
        <v>20</v>
      </c>
    </row>
    <row r="1371" spans="1:5" ht="12.75">
      <c r="A1371" s="6" t="str">
        <f>HYPERLINK(SUBSTITUTE(T(hl_0),"{0}","900332173478098"),hn_0)</f>
        <v>ОВ</v>
      </c>
      <c r="B1371" s="7" t="s">
        <v>357</v>
      </c>
      <c r="C1371" s="8">
        <v>5660</v>
      </c>
      <c r="D1371" s="7" t="s">
        <v>11</v>
      </c>
      <c r="E1371" s="7" t="s">
        <v>20</v>
      </c>
    </row>
    <row r="1372" spans="1:5" ht="12.75">
      <c r="A1372" s="6" t="str">
        <f>HYPERLINK(SUBSTITUTE(T(hl_0),"{0}","900331651686054"),hn_0)</f>
        <v>ОВ</v>
      </c>
      <c r="B1372" s="7" t="s">
        <v>357</v>
      </c>
      <c r="C1372" s="8">
        <v>5660</v>
      </c>
      <c r="D1372" s="7" t="s">
        <v>360</v>
      </c>
      <c r="E1372" s="7" t="s">
        <v>20</v>
      </c>
    </row>
    <row r="1373" spans="1:5" ht="12.75">
      <c r="A1373" s="6" t="str">
        <f>HYPERLINK(SUBSTITUTE(T(hl_0),"{0}","900331651672576"),hn_0)</f>
        <v>ОВ</v>
      </c>
      <c r="B1373" s="7" t="s">
        <v>357</v>
      </c>
      <c r="C1373" s="8">
        <v>5660</v>
      </c>
      <c r="D1373" s="7" t="s">
        <v>361</v>
      </c>
      <c r="E1373" s="7" t="s">
        <v>20</v>
      </c>
    </row>
    <row r="1374" spans="1:5" ht="12.75">
      <c r="A1374" s="6" t="str">
        <f>HYPERLINK(SUBSTITUTE(T(hl_0),"{0}","900331651639490"),hn_0)</f>
        <v>ОВ</v>
      </c>
      <c r="B1374" s="7" t="s">
        <v>357</v>
      </c>
      <c r="C1374" s="8">
        <v>5660</v>
      </c>
      <c r="D1374" s="7" t="s">
        <v>362</v>
      </c>
      <c r="E1374" s="7" t="s">
        <v>20</v>
      </c>
    </row>
    <row r="1375" spans="1:5" ht="12.75">
      <c r="A1375" s="6" t="str">
        <f>HYPERLINK(SUBSTITUTE(T(hl_0),"{0}","900331651567182"),hn_0)</f>
        <v>ОВ</v>
      </c>
      <c r="B1375" s="7" t="s">
        <v>357</v>
      </c>
      <c r="C1375" s="8">
        <v>5660</v>
      </c>
      <c r="D1375" s="7" t="s">
        <v>363</v>
      </c>
      <c r="E1375" s="7" t="s">
        <v>20</v>
      </c>
    </row>
    <row r="1376" spans="1:5" ht="12.75">
      <c r="A1376" s="6" t="str">
        <f>HYPERLINK(SUBSTITUTE(T(hl_0),"{0}","900331651595037"),hn_0)</f>
        <v>ОВ</v>
      </c>
      <c r="B1376" s="7" t="s">
        <v>357</v>
      </c>
      <c r="C1376" s="8">
        <v>5660</v>
      </c>
      <c r="D1376" s="7" t="s">
        <v>41</v>
      </c>
      <c r="E1376" s="7" t="s">
        <v>20</v>
      </c>
    </row>
    <row r="1377" spans="1:5" ht="12.75">
      <c r="A1377" s="6" t="str">
        <f>HYPERLINK(SUBSTITUTE(T(hl_0),"{0}","900332707116719"),hn_0)</f>
        <v>ОВ</v>
      </c>
      <c r="B1377" s="7" t="s">
        <v>364</v>
      </c>
      <c r="C1377" s="8">
        <v>5590</v>
      </c>
      <c r="D1377" s="7" t="s">
        <v>11</v>
      </c>
      <c r="E1377" s="7" t="s">
        <v>20</v>
      </c>
    </row>
    <row r="1378" spans="1:5" ht="12.75">
      <c r="A1378" s="6" t="str">
        <f>HYPERLINK(SUBSTITUTE(T(hl_0),"{0}","900332707145788"),hn_0)</f>
        <v>ОВ</v>
      </c>
      <c r="B1378" s="7" t="s">
        <v>364</v>
      </c>
      <c r="C1378" s="8">
        <v>5590</v>
      </c>
      <c r="D1378" s="7" t="s">
        <v>11</v>
      </c>
      <c r="E1378" s="7" t="s">
        <v>20</v>
      </c>
    </row>
    <row r="1379" spans="1:5" ht="12.75">
      <c r="A1379" s="6" t="str">
        <f>HYPERLINK(SUBSTITUTE(T(hl_0),"{0}","324332760470980"),hn_0)</f>
        <v>ОВ</v>
      </c>
      <c r="B1379" s="7" t="s">
        <v>365</v>
      </c>
      <c r="C1379" s="8">
        <v>5000</v>
      </c>
      <c r="D1379" s="7" t="s">
        <v>237</v>
      </c>
      <c r="E1379" s="7" t="s">
        <v>190</v>
      </c>
    </row>
    <row r="1380" spans="1:5" ht="25.5">
      <c r="A1380" s="6" t="str">
        <f>HYPERLINK(SUBSTITUTE(T(hl_0),"{0}","320332147637785"),hn_0)</f>
        <v>ОВ</v>
      </c>
      <c r="B1380" s="7" t="s">
        <v>366</v>
      </c>
      <c r="C1380" s="8">
        <v>6100</v>
      </c>
      <c r="D1380" s="7" t="s">
        <v>16</v>
      </c>
      <c r="E1380" s="7" t="s">
        <v>17</v>
      </c>
    </row>
    <row r="1381" spans="1:5" ht="12.75">
      <c r="A1381" s="6" t="str">
        <f>HYPERLINK(SUBSTITUTE(T(hl_0),"{0}","331332650262957"),hn_0)</f>
        <v>ОВ</v>
      </c>
      <c r="B1381" s="7" t="s">
        <v>367</v>
      </c>
      <c r="C1381" s="8">
        <v>5500</v>
      </c>
      <c r="D1381" s="7" t="s">
        <v>368</v>
      </c>
      <c r="E1381" s="7" t="s">
        <v>195</v>
      </c>
    </row>
    <row r="1382" spans="1:5" ht="12.75">
      <c r="A1382" s="6" t="str">
        <f>HYPERLINK(SUBSTITUTE(T(hl_0),"{0}","900331651392555"),hn_0)</f>
        <v>ОВ</v>
      </c>
      <c r="B1382" s="7" t="s">
        <v>367</v>
      </c>
      <c r="C1382" s="8">
        <v>5660</v>
      </c>
      <c r="D1382" s="7" t="s">
        <v>369</v>
      </c>
      <c r="E1382" s="7" t="s">
        <v>20</v>
      </c>
    </row>
    <row r="1383" spans="1:5" ht="12.75">
      <c r="A1383" s="6" t="str">
        <f>HYPERLINK(SUBSTITUTE(T(hl_0),"{0}","900331651391662"),hn_0)</f>
        <v>ОВ</v>
      </c>
      <c r="B1383" s="7" t="s">
        <v>367</v>
      </c>
      <c r="C1383" s="8">
        <v>5660</v>
      </c>
      <c r="D1383" s="7" t="s">
        <v>370</v>
      </c>
      <c r="E1383" s="7" t="s">
        <v>20</v>
      </c>
    </row>
    <row r="1384" spans="1:5" ht="12.75">
      <c r="A1384" s="6" t="str">
        <f>HYPERLINK(SUBSTITUTE(T(hl_0),"{0}","332328502290207"),hn_0)</f>
        <v>ОВ</v>
      </c>
      <c r="B1384" s="7" t="s">
        <v>371</v>
      </c>
      <c r="C1384" s="8">
        <v>15000</v>
      </c>
      <c r="D1384" s="7" t="s">
        <v>30</v>
      </c>
      <c r="E1384" s="7" t="s">
        <v>31</v>
      </c>
    </row>
    <row r="1385" spans="1:5" ht="12.75">
      <c r="A1385" s="6" t="str">
        <f>HYPERLINK(SUBSTITUTE(T(hl_0),"{0}","325332583652747"),hn_0)</f>
        <v>ОВ</v>
      </c>
      <c r="B1385" s="7" t="s">
        <v>372</v>
      </c>
      <c r="C1385" s="8">
        <v>5000</v>
      </c>
      <c r="D1385" s="7" t="s">
        <v>34</v>
      </c>
      <c r="E1385" s="7" t="s">
        <v>27</v>
      </c>
    </row>
    <row r="1386" spans="1:5" ht="12.75">
      <c r="A1386" s="6" t="str">
        <f>HYPERLINK(SUBSTITUTE(T(hl_0),"{0}","327329503551795"),hn_0)</f>
        <v>ОВ</v>
      </c>
      <c r="B1386" s="7" t="s">
        <v>372</v>
      </c>
      <c r="C1386" s="8">
        <v>5200</v>
      </c>
      <c r="D1386" s="7" t="s">
        <v>41</v>
      </c>
      <c r="E1386" s="7" t="s">
        <v>12</v>
      </c>
    </row>
    <row r="1387" spans="1:5" ht="12.75">
      <c r="A1387" s="6" t="str">
        <f>HYPERLINK(SUBSTITUTE(T(hl_0),"{0}","900332707162870"),hn_0)</f>
        <v>ОВ</v>
      </c>
      <c r="B1387" s="7" t="s">
        <v>372</v>
      </c>
      <c r="C1387" s="8">
        <v>7000</v>
      </c>
      <c r="D1387" s="7" t="s">
        <v>11</v>
      </c>
      <c r="E1387" s="7" t="s">
        <v>20</v>
      </c>
    </row>
    <row r="1388" spans="1:5" ht="12.75">
      <c r="A1388" s="6" t="str">
        <f>HYPERLINK(SUBSTITUTE(T(hl_0),"{0}","900332170847942"),hn_0)</f>
        <v>ОВ</v>
      </c>
      <c r="B1388" s="7" t="s">
        <v>372</v>
      </c>
      <c r="C1388" s="8">
        <v>12000</v>
      </c>
      <c r="D1388" s="7" t="s">
        <v>11</v>
      </c>
      <c r="E1388" s="7" t="s">
        <v>20</v>
      </c>
    </row>
    <row r="1389" spans="1:5" ht="12.75">
      <c r="A1389" s="6" t="str">
        <f>HYPERLINK(SUBSTITUTE(T(hl_0),"{0}","900332170781476"),hn_0)</f>
        <v>ОВ</v>
      </c>
      <c r="B1389" s="7" t="s">
        <v>372</v>
      </c>
      <c r="C1389" s="8">
        <v>5000</v>
      </c>
      <c r="D1389" s="7" t="s">
        <v>202</v>
      </c>
      <c r="E1389" s="7" t="s">
        <v>20</v>
      </c>
    </row>
    <row r="1390" spans="1:5" ht="12.75">
      <c r="A1390" s="6" t="str">
        <f>HYPERLINK(SUBSTITUTE(T(hl_0),"{0}","330331846609272"),hn_0)</f>
        <v>ОВ</v>
      </c>
      <c r="B1390" s="7" t="s">
        <v>373</v>
      </c>
      <c r="C1390" s="8">
        <v>5000</v>
      </c>
      <c r="D1390" s="7" t="s">
        <v>44</v>
      </c>
      <c r="E1390" s="7" t="s">
        <v>29</v>
      </c>
    </row>
    <row r="1391" spans="1:5" ht="25.5">
      <c r="A1391" s="6" t="str">
        <f>HYPERLINK(SUBSTITUTE(T(hl_0),"{0}","320331648651641"),hn_0)</f>
        <v>ОВ</v>
      </c>
      <c r="B1391" s="7" t="s">
        <v>374</v>
      </c>
      <c r="C1391" s="8">
        <v>13000</v>
      </c>
      <c r="D1391" s="7" t="s">
        <v>16</v>
      </c>
      <c r="E1391" s="7" t="s">
        <v>17</v>
      </c>
    </row>
    <row r="1392" spans="1:5" ht="25.5">
      <c r="A1392" s="6" t="str">
        <f>HYPERLINK(SUBSTITUTE(T(hl_0),"{0}","320331648654436"),hn_0)</f>
        <v>ОВ</v>
      </c>
      <c r="B1392" s="7" t="s">
        <v>374</v>
      </c>
      <c r="C1392" s="8">
        <v>13000</v>
      </c>
      <c r="D1392" s="7" t="s">
        <v>16</v>
      </c>
      <c r="E1392" s="7" t="s">
        <v>17</v>
      </c>
    </row>
    <row r="1393" spans="1:5" ht="12.75">
      <c r="A1393" s="6" t="str">
        <f>HYPERLINK(SUBSTITUTE(T(hl_0),"{0}","326327362549516"),hn_0)</f>
        <v>ОВ</v>
      </c>
      <c r="B1393" s="7" t="s">
        <v>374</v>
      </c>
      <c r="C1393" s="8">
        <v>8000</v>
      </c>
      <c r="D1393" s="7" t="s">
        <v>375</v>
      </c>
      <c r="E1393" s="7" t="s">
        <v>40</v>
      </c>
    </row>
    <row r="1394" spans="1:5" ht="12.75">
      <c r="A1394" s="6" t="str">
        <f>HYPERLINK(SUBSTITUTE(T(hl_0),"{0}","331332197878756"),hn_0)</f>
        <v>ОВ</v>
      </c>
      <c r="B1394" s="7" t="s">
        <v>374</v>
      </c>
      <c r="C1394" s="8">
        <v>9400</v>
      </c>
      <c r="D1394" s="7" t="s">
        <v>376</v>
      </c>
      <c r="E1394" s="7" t="s">
        <v>195</v>
      </c>
    </row>
    <row r="1395" spans="1:5" ht="12.75">
      <c r="A1395" s="6" t="str">
        <f>HYPERLINK(SUBSTITUTE(T(hl_0),"{0}","331332197878756"),hn_0)</f>
        <v>ОВ</v>
      </c>
      <c r="B1395" s="7" t="s">
        <v>374</v>
      </c>
      <c r="C1395" s="8">
        <v>9400</v>
      </c>
      <c r="D1395" s="7" t="s">
        <v>376</v>
      </c>
      <c r="E1395" s="7" t="s">
        <v>195</v>
      </c>
    </row>
    <row r="1396" spans="1:5" ht="12.75">
      <c r="A1396" s="6" t="str">
        <f>HYPERLINK(SUBSTITUTE(T(hl_0),"{0}","332327619228877"),hn_0)</f>
        <v>ОВ</v>
      </c>
      <c r="B1396" s="7" t="s">
        <v>377</v>
      </c>
      <c r="C1396" s="8">
        <v>5000</v>
      </c>
      <c r="D1396" s="7" t="s">
        <v>30</v>
      </c>
      <c r="E1396" s="7" t="s">
        <v>31</v>
      </c>
    </row>
    <row r="1397" spans="1:5" ht="12.75">
      <c r="A1397" s="6" t="str">
        <f>HYPERLINK(SUBSTITUTE(T(hl_0),"{0}","330331967031237"),hn_0)</f>
        <v>ОВ</v>
      </c>
      <c r="B1397" s="7" t="s">
        <v>378</v>
      </c>
      <c r="C1397" s="8">
        <v>5000</v>
      </c>
      <c r="D1397" s="7" t="s">
        <v>44</v>
      </c>
      <c r="E1397" s="7" t="s">
        <v>29</v>
      </c>
    </row>
    <row r="1398" spans="1:5" ht="12.75">
      <c r="A1398" s="6" t="str">
        <f>HYPERLINK(SUBSTITUTE(T(hl_0),"{0}","330331966897552"),hn_0)</f>
        <v>ОВ</v>
      </c>
      <c r="B1398" s="7" t="s">
        <v>379</v>
      </c>
      <c r="C1398" s="8">
        <v>5000</v>
      </c>
      <c r="D1398" s="7" t="s">
        <v>44</v>
      </c>
      <c r="E1398" s="7" t="s">
        <v>29</v>
      </c>
    </row>
    <row r="1399" spans="1:5" ht="25.5">
      <c r="A1399" s="6" t="str">
        <f>HYPERLINK(SUBSTITUTE(T(hl_0),"{0}","320331701745226"),hn_0)</f>
        <v>ОВ</v>
      </c>
      <c r="B1399" s="7" t="s">
        <v>380</v>
      </c>
      <c r="C1399" s="8">
        <v>5000</v>
      </c>
      <c r="D1399" s="7" t="s">
        <v>16</v>
      </c>
      <c r="E1399" s="7" t="s">
        <v>17</v>
      </c>
    </row>
    <row r="1400" spans="1:5" ht="25.5">
      <c r="A1400" s="6" t="str">
        <f>HYPERLINK(SUBSTITUTE(T(hl_0),"{0}","320331701745598"),hn_0)</f>
        <v>ОВ</v>
      </c>
      <c r="B1400" s="7" t="s">
        <v>380</v>
      </c>
      <c r="C1400" s="8">
        <v>5000</v>
      </c>
      <c r="D1400" s="7" t="s">
        <v>16</v>
      </c>
      <c r="E1400" s="7" t="s">
        <v>17</v>
      </c>
    </row>
    <row r="1401" spans="1:5" ht="25.5">
      <c r="A1401" s="6" t="str">
        <f>HYPERLINK(SUBSTITUTE(T(hl_0),"{0}","320331701745299"),hn_0)</f>
        <v>ОВ</v>
      </c>
      <c r="B1401" s="7" t="s">
        <v>380</v>
      </c>
      <c r="C1401" s="8">
        <v>5000</v>
      </c>
      <c r="D1401" s="7" t="s">
        <v>16</v>
      </c>
      <c r="E1401" s="7" t="s">
        <v>17</v>
      </c>
    </row>
    <row r="1402" spans="1:5" ht="25.5">
      <c r="A1402" s="6" t="str">
        <f>HYPERLINK(SUBSTITUTE(T(hl_0),"{0}","320331701679991"),hn_0)</f>
        <v>ОВ</v>
      </c>
      <c r="B1402" s="7" t="s">
        <v>380</v>
      </c>
      <c r="C1402" s="8">
        <v>5000</v>
      </c>
      <c r="D1402" s="7" t="s">
        <v>16</v>
      </c>
      <c r="E1402" s="7" t="s">
        <v>17</v>
      </c>
    </row>
    <row r="1403" spans="1:5" ht="12.75">
      <c r="A1403" s="6" t="str">
        <f>HYPERLINK(SUBSTITUTE(T(hl_0),"{0}","321332418365860"),hn_0)</f>
        <v>ОВ</v>
      </c>
      <c r="B1403" s="7" t="s">
        <v>381</v>
      </c>
      <c r="C1403" s="8">
        <v>7500</v>
      </c>
      <c r="D1403" s="7" t="s">
        <v>18</v>
      </c>
      <c r="E1403" s="7" t="s">
        <v>19</v>
      </c>
    </row>
    <row r="1404" spans="1:5" ht="12.75">
      <c r="A1404" s="6" t="str">
        <f>HYPERLINK(SUBSTITUTE(T(hl_0),"{0}","321332418373835"),hn_0)</f>
        <v>ОВ</v>
      </c>
      <c r="B1404" s="7" t="s">
        <v>381</v>
      </c>
      <c r="C1404" s="8">
        <v>7500</v>
      </c>
      <c r="D1404" s="7" t="s">
        <v>18</v>
      </c>
      <c r="E1404" s="7" t="s">
        <v>19</v>
      </c>
    </row>
    <row r="1405" spans="1:5" ht="12.75">
      <c r="A1405" s="6" t="str">
        <f>HYPERLINK(SUBSTITUTE(T(hl_0),"{0}","323331996772685"),hn_0)</f>
        <v>ОВ</v>
      </c>
      <c r="B1405" s="7" t="s">
        <v>381</v>
      </c>
      <c r="C1405" s="8">
        <v>5500</v>
      </c>
      <c r="D1405" s="7" t="s">
        <v>16</v>
      </c>
      <c r="E1405" s="7" t="s">
        <v>224</v>
      </c>
    </row>
    <row r="1406" spans="1:5" ht="12.75">
      <c r="A1406" s="6" t="str">
        <f>HYPERLINK(SUBSTITUTE(T(hl_0),"{0}","321327315415013"),hn_0)</f>
        <v>ОВ</v>
      </c>
      <c r="B1406" s="7" t="s">
        <v>382</v>
      </c>
      <c r="C1406" s="8">
        <v>12000</v>
      </c>
      <c r="D1406" s="7" t="s">
        <v>23</v>
      </c>
      <c r="E1406" s="7" t="s">
        <v>19</v>
      </c>
    </row>
    <row r="1407" spans="1:5" ht="12.75">
      <c r="A1407" s="6" t="str">
        <f>HYPERLINK(SUBSTITUTE(T(hl_0),"{0}","900332677994239"),hn_0)</f>
        <v>ОВ</v>
      </c>
      <c r="B1407" s="7" t="s">
        <v>383</v>
      </c>
      <c r="C1407" s="8">
        <v>8000</v>
      </c>
      <c r="D1407" s="7" t="s">
        <v>11</v>
      </c>
      <c r="E1407" s="7" t="s">
        <v>20</v>
      </c>
    </row>
    <row r="1408" spans="1:5" ht="12.75">
      <c r="A1408" s="6" t="str">
        <f>HYPERLINK(SUBSTITUTE(T(hl_0),"{0}","319332319205184"),hn_0)</f>
        <v>ОВ</v>
      </c>
      <c r="B1408" s="7" t="s">
        <v>384</v>
      </c>
      <c r="C1408" s="8">
        <v>8000</v>
      </c>
      <c r="D1408" s="7" t="s">
        <v>385</v>
      </c>
      <c r="E1408" s="7" t="s">
        <v>15</v>
      </c>
    </row>
    <row r="1409" spans="1:5" ht="12.75">
      <c r="A1409" s="6" t="str">
        <f>HYPERLINK(SUBSTITUTE(T(hl_0),"{0}","322331559346303"),hn_0)</f>
        <v>ОВ</v>
      </c>
      <c r="B1409" s="7" t="s">
        <v>384</v>
      </c>
      <c r="C1409" s="8">
        <v>5600</v>
      </c>
      <c r="D1409" s="7" t="s">
        <v>46</v>
      </c>
      <c r="E1409" s="7" t="s">
        <v>47</v>
      </c>
    </row>
    <row r="1410" spans="1:5" ht="12.75">
      <c r="A1410" s="6" t="str">
        <f>HYPERLINK(SUBSTITUTE(T(hl_0),"{0}","331332146142636"),hn_0)</f>
        <v>ОВ</v>
      </c>
      <c r="B1410" s="7" t="s">
        <v>384</v>
      </c>
      <c r="C1410" s="8">
        <v>6000</v>
      </c>
      <c r="D1410" s="7" t="s">
        <v>37</v>
      </c>
      <c r="E1410" s="7" t="s">
        <v>195</v>
      </c>
    </row>
    <row r="1411" spans="1:5" ht="12.75">
      <c r="A1411" s="6" t="str">
        <f>HYPERLINK(SUBSTITUTE(T(hl_0),"{0}","331332078822125"),hn_0)</f>
        <v>ОВ</v>
      </c>
      <c r="B1411" s="7" t="s">
        <v>384</v>
      </c>
      <c r="C1411" s="8">
        <v>6000</v>
      </c>
      <c r="D1411" s="7" t="s">
        <v>37</v>
      </c>
      <c r="E1411" s="7" t="s">
        <v>195</v>
      </c>
    </row>
    <row r="1412" spans="1:5" ht="12.75">
      <c r="A1412" s="6" t="str">
        <f>HYPERLINK(SUBSTITUTE(T(hl_0),"{0}","321327791221504"),hn_0)</f>
        <v>ОВ</v>
      </c>
      <c r="B1412" s="7" t="s">
        <v>386</v>
      </c>
      <c r="C1412" s="8">
        <v>5000</v>
      </c>
      <c r="D1412" s="7" t="s">
        <v>18</v>
      </c>
      <c r="E1412" s="7" t="s">
        <v>19</v>
      </c>
    </row>
    <row r="1413" spans="1:5" ht="12.75">
      <c r="A1413" s="6" t="str">
        <f>HYPERLINK(SUBSTITUTE(T(hl_0),"{0}","327332760124102"),hn_0)</f>
        <v>ОВ</v>
      </c>
      <c r="B1413" s="7" t="s">
        <v>387</v>
      </c>
      <c r="C1413" s="8">
        <v>15000</v>
      </c>
      <c r="D1413" s="7" t="s">
        <v>388</v>
      </c>
      <c r="E1413" s="7" t="s">
        <v>12</v>
      </c>
    </row>
    <row r="1414" spans="1:5" ht="12.75">
      <c r="A1414" s="6" t="str">
        <f>HYPERLINK(SUBSTITUTE(T(hl_0),"{0}","327330635021583"),hn_0)</f>
        <v>ОВ</v>
      </c>
      <c r="B1414" s="7" t="s">
        <v>387</v>
      </c>
      <c r="C1414" s="8">
        <v>7000</v>
      </c>
      <c r="D1414" s="7" t="s">
        <v>11</v>
      </c>
      <c r="E1414" s="7" t="s">
        <v>12</v>
      </c>
    </row>
    <row r="1415" spans="1:5" ht="12.75">
      <c r="A1415" s="6" t="str">
        <f>HYPERLINK(SUBSTITUTE(T(hl_0),"{0}","332327315183661"),hn_0)</f>
        <v>ОВ</v>
      </c>
      <c r="B1415" s="7" t="s">
        <v>387</v>
      </c>
      <c r="C1415" s="8">
        <v>8000</v>
      </c>
      <c r="D1415" s="7" t="s">
        <v>49</v>
      </c>
      <c r="E1415" s="7" t="s">
        <v>31</v>
      </c>
    </row>
    <row r="1416" spans="1:5" ht="25.5">
      <c r="A1416" s="6" t="str">
        <f>HYPERLINK(SUBSTITUTE(T(hl_0),"{0}","320332529368404"),hn_0)</f>
        <v>ОВ</v>
      </c>
      <c r="B1416" s="7" t="s">
        <v>389</v>
      </c>
      <c r="C1416" s="8">
        <v>11000</v>
      </c>
      <c r="D1416" s="7" t="s">
        <v>16</v>
      </c>
      <c r="E1416" s="7" t="s">
        <v>17</v>
      </c>
    </row>
    <row r="1417" spans="1:5" ht="12.75">
      <c r="A1417" s="6" t="str">
        <f>HYPERLINK(SUBSTITUTE(T(hl_0),"{0}","327332760098083"),hn_0)</f>
        <v>ОВ</v>
      </c>
      <c r="B1417" s="7" t="s">
        <v>389</v>
      </c>
      <c r="C1417" s="8">
        <v>10000</v>
      </c>
      <c r="D1417" s="7" t="s">
        <v>239</v>
      </c>
      <c r="E1417" s="7" t="s">
        <v>12</v>
      </c>
    </row>
    <row r="1418" spans="1:5" ht="12.75">
      <c r="A1418" s="6" t="str">
        <f>HYPERLINK(SUBSTITUTE(T(hl_0),"{0}","332332648306610"),hn_0)</f>
        <v>ОВ</v>
      </c>
      <c r="B1418" s="7" t="s">
        <v>390</v>
      </c>
      <c r="C1418" s="8">
        <v>5000</v>
      </c>
      <c r="D1418" s="7" t="s">
        <v>30</v>
      </c>
      <c r="E1418" s="7" t="s">
        <v>31</v>
      </c>
    </row>
    <row r="1419" spans="1:5" ht="12.75">
      <c r="A1419" s="6" t="str">
        <f>HYPERLINK(SUBSTITUTE(T(hl_0),"{0}","332332648370818"),hn_0)</f>
        <v>ОВ</v>
      </c>
      <c r="B1419" s="7" t="s">
        <v>390</v>
      </c>
      <c r="C1419" s="8">
        <v>5000</v>
      </c>
      <c r="D1419" s="7" t="s">
        <v>30</v>
      </c>
      <c r="E1419" s="7" t="s">
        <v>31</v>
      </c>
    </row>
    <row r="1420" spans="1:5" ht="12.75">
      <c r="A1420" s="6" t="str">
        <f>HYPERLINK(SUBSTITUTE(T(hl_0),"{0}","900325739294150"),hn_0)</f>
        <v>ОВ</v>
      </c>
      <c r="B1420" s="7" t="s">
        <v>391</v>
      </c>
      <c r="C1420" s="8">
        <v>5000</v>
      </c>
      <c r="D1420" s="7" t="s">
        <v>11</v>
      </c>
      <c r="E1420" s="7" t="s">
        <v>20</v>
      </c>
    </row>
    <row r="1421" spans="1:5" ht="12.75">
      <c r="A1421" s="6" t="str">
        <f>HYPERLINK(SUBSTITUTE(T(hl_0),"{0}","900332729102592"),hn_0)</f>
        <v>ОВ</v>
      </c>
      <c r="B1421" s="7" t="s">
        <v>392</v>
      </c>
      <c r="C1421" s="8">
        <v>5000</v>
      </c>
      <c r="D1421" s="7" t="s">
        <v>11</v>
      </c>
      <c r="E1421" s="7" t="s">
        <v>20</v>
      </c>
    </row>
    <row r="1422" spans="1:5" ht="12.75">
      <c r="A1422" s="6" t="str">
        <f>HYPERLINK(SUBSTITUTE(T(hl_0),"{0}","326331650800789"),hn_0)</f>
        <v>ОВ</v>
      </c>
      <c r="B1422" s="7" t="s">
        <v>393</v>
      </c>
      <c r="C1422" s="8">
        <v>5500</v>
      </c>
      <c r="D1422" s="7" t="s">
        <v>375</v>
      </c>
      <c r="E1422" s="7" t="s">
        <v>40</v>
      </c>
    </row>
    <row r="1423" spans="1:5" ht="12.75">
      <c r="A1423" s="6" t="str">
        <f>HYPERLINK(SUBSTITUTE(T(hl_0),"{0}","330332340922792"),hn_0)</f>
        <v>ОВ</v>
      </c>
      <c r="B1423" s="7" t="s">
        <v>393</v>
      </c>
      <c r="C1423" s="8">
        <v>6500</v>
      </c>
      <c r="D1423" s="7" t="s">
        <v>28</v>
      </c>
      <c r="E1423" s="7" t="s">
        <v>29</v>
      </c>
    </row>
    <row r="1424" spans="1:5" ht="12.75">
      <c r="A1424" s="6" t="str">
        <f>HYPERLINK(SUBSTITUTE(T(hl_0),"{0}","321332318918264"),hn_0)</f>
        <v>ОВ</v>
      </c>
      <c r="B1424" s="7" t="s">
        <v>394</v>
      </c>
      <c r="C1424" s="8">
        <v>10000</v>
      </c>
      <c r="D1424" s="7" t="s">
        <v>395</v>
      </c>
      <c r="E1424" s="7" t="s">
        <v>19</v>
      </c>
    </row>
    <row r="1425" spans="1:5" ht="12.75">
      <c r="A1425" s="6" t="str">
        <f>HYPERLINK(SUBSTITUTE(T(hl_0),"{0}","324332528172461"),hn_0)</f>
        <v>ОВ</v>
      </c>
      <c r="B1425" s="7" t="s">
        <v>394</v>
      </c>
      <c r="C1425" s="8">
        <v>5000</v>
      </c>
      <c r="D1425" s="7" t="s">
        <v>237</v>
      </c>
      <c r="E1425" s="7" t="s">
        <v>190</v>
      </c>
    </row>
    <row r="1426" spans="1:5" ht="12.75">
      <c r="A1426" s="6" t="str">
        <f>HYPERLINK(SUBSTITUTE(T(hl_0),"{0}","321332650232254"),hn_0)</f>
        <v>ОВ</v>
      </c>
      <c r="B1426" s="7" t="s">
        <v>396</v>
      </c>
      <c r="C1426" s="8">
        <v>5000</v>
      </c>
      <c r="D1426" s="7" t="s">
        <v>18</v>
      </c>
      <c r="E1426" s="7" t="s">
        <v>19</v>
      </c>
    </row>
    <row r="1427" spans="1:5" ht="12.75">
      <c r="A1427" s="6" t="str">
        <f>HYPERLINK(SUBSTITUTE(T(hl_0),"{0}","329332531450889"),hn_0)</f>
        <v>ОВ</v>
      </c>
      <c r="B1427" s="7" t="s">
        <v>396</v>
      </c>
      <c r="C1427" s="8">
        <v>5000</v>
      </c>
      <c r="D1427" s="7" t="s">
        <v>397</v>
      </c>
      <c r="E1427" s="7" t="s">
        <v>43</v>
      </c>
    </row>
    <row r="1428" spans="1:5" ht="12.75">
      <c r="A1428" s="6" t="str">
        <f>HYPERLINK(SUBSTITUTE(T(hl_0),"{0}","332332678920839"),hn_0)</f>
        <v>ОВ</v>
      </c>
      <c r="B1428" s="7" t="s">
        <v>396</v>
      </c>
      <c r="C1428" s="8">
        <v>5400</v>
      </c>
      <c r="D1428" s="7" t="s">
        <v>398</v>
      </c>
      <c r="E1428" s="7" t="s">
        <v>31</v>
      </c>
    </row>
    <row r="1429" spans="1:5" ht="12.75">
      <c r="A1429" s="6" t="str">
        <f>HYPERLINK(SUBSTITUTE(T(hl_0),"{0}","334330999105985"),hn_0)</f>
        <v>ОВ</v>
      </c>
      <c r="B1429" s="7" t="s">
        <v>399</v>
      </c>
      <c r="C1429" s="8">
        <v>7000</v>
      </c>
      <c r="D1429" s="7" t="s">
        <v>208</v>
      </c>
      <c r="E1429" s="7" t="s">
        <v>209</v>
      </c>
    </row>
    <row r="1430" spans="1:5" ht="12.75">
      <c r="A1430" s="6" t="str">
        <f>HYPERLINK(SUBSTITUTE(T(hl_0),"{0}","900331558772605"),hn_0)</f>
        <v>ОВ</v>
      </c>
      <c r="B1430" s="7" t="s">
        <v>399</v>
      </c>
      <c r="C1430" s="8">
        <v>12000</v>
      </c>
      <c r="D1430" s="7" t="s">
        <v>11</v>
      </c>
      <c r="E1430" s="7" t="s">
        <v>20</v>
      </c>
    </row>
    <row r="1431" spans="1:5" ht="12.75">
      <c r="A1431" s="6" t="str">
        <f>HYPERLINK(SUBSTITUTE(T(hl_0),"{0}","900331165394008"),hn_0)</f>
        <v>ОВ</v>
      </c>
      <c r="B1431" s="7" t="s">
        <v>400</v>
      </c>
      <c r="C1431" s="8">
        <v>8000</v>
      </c>
      <c r="D1431" s="7" t="s">
        <v>11</v>
      </c>
      <c r="E1431" s="7" t="s">
        <v>20</v>
      </c>
    </row>
    <row r="1432" spans="1:5" ht="12.75">
      <c r="A1432" s="6" t="str">
        <f>HYPERLINK(SUBSTITUTE(T(hl_0),"{0}","319332223922686"),hn_0)</f>
        <v>ОВ</v>
      </c>
      <c r="B1432" s="7" t="s">
        <v>401</v>
      </c>
      <c r="C1432" s="8">
        <v>7000</v>
      </c>
      <c r="D1432" s="7" t="s">
        <v>14</v>
      </c>
      <c r="E1432" s="7" t="s">
        <v>15</v>
      </c>
    </row>
    <row r="1433" spans="1:5" ht="25.5">
      <c r="A1433" s="6" t="str">
        <f>HYPERLINK(SUBSTITUTE(T(hl_0),"{0}","320332528309038"),hn_0)</f>
        <v>ОВ</v>
      </c>
      <c r="B1433" s="7" t="s">
        <v>401</v>
      </c>
      <c r="C1433" s="8">
        <v>8500</v>
      </c>
      <c r="D1433" s="7" t="s">
        <v>16</v>
      </c>
      <c r="E1433" s="7" t="s">
        <v>17</v>
      </c>
    </row>
    <row r="1434" spans="1:5" ht="12.75">
      <c r="A1434" s="6" t="str">
        <f>HYPERLINK(SUBSTITUTE(T(hl_0),"{0}","321332825790767"),hn_0)</f>
        <v>ОВ</v>
      </c>
      <c r="B1434" s="7" t="s">
        <v>401</v>
      </c>
      <c r="C1434" s="8">
        <v>8000</v>
      </c>
      <c r="D1434" s="7" t="s">
        <v>402</v>
      </c>
      <c r="E1434" s="7" t="s">
        <v>19</v>
      </c>
    </row>
    <row r="1435" spans="1:5" ht="12.75">
      <c r="A1435" s="6" t="str">
        <f>HYPERLINK(SUBSTITUTE(T(hl_0),"{0}","321331995434197"),hn_0)</f>
        <v>ОВ</v>
      </c>
      <c r="B1435" s="7" t="s">
        <v>401</v>
      </c>
      <c r="C1435" s="8">
        <v>8000</v>
      </c>
      <c r="D1435" s="7" t="s">
        <v>283</v>
      </c>
      <c r="E1435" s="7" t="s">
        <v>19</v>
      </c>
    </row>
    <row r="1436" spans="1:5" ht="12.75">
      <c r="A1436" s="6" t="str">
        <f>HYPERLINK(SUBSTITUTE(T(hl_0),"{0}","329331389346320"),hn_0)</f>
        <v>ОВ</v>
      </c>
      <c r="B1436" s="7" t="s">
        <v>401</v>
      </c>
      <c r="C1436" s="8">
        <v>8000</v>
      </c>
      <c r="D1436" s="7" t="s">
        <v>42</v>
      </c>
      <c r="E1436" s="7" t="s">
        <v>43</v>
      </c>
    </row>
    <row r="1437" spans="1:5" ht="12.75">
      <c r="A1437" s="6" t="str">
        <f>HYPERLINK(SUBSTITUTE(T(hl_0),"{0}","332331533028847"),hn_0)</f>
        <v>ОВ</v>
      </c>
      <c r="B1437" s="7" t="s">
        <v>401</v>
      </c>
      <c r="C1437" s="8">
        <v>5000</v>
      </c>
      <c r="D1437" s="7" t="s">
        <v>30</v>
      </c>
      <c r="E1437" s="7" t="s">
        <v>31</v>
      </c>
    </row>
    <row r="1438" spans="1:5" ht="12.75">
      <c r="A1438" s="6" t="str">
        <f>HYPERLINK(SUBSTITUTE(T(hl_0),"{0}","332328940129464"),hn_0)</f>
        <v>ОВ</v>
      </c>
      <c r="B1438" s="7" t="s">
        <v>401</v>
      </c>
      <c r="C1438" s="8">
        <v>5000</v>
      </c>
      <c r="D1438" s="7" t="s">
        <v>30</v>
      </c>
      <c r="E1438" s="7" t="s">
        <v>31</v>
      </c>
    </row>
    <row r="1439" spans="1:5" ht="12.75">
      <c r="A1439" s="6" t="str">
        <f>HYPERLINK(SUBSTITUTE(T(hl_0),"{0}","900332734348582"),hn_0)</f>
        <v>ОВ</v>
      </c>
      <c r="B1439" s="7" t="s">
        <v>401</v>
      </c>
      <c r="C1439" s="8">
        <v>15000</v>
      </c>
      <c r="D1439" s="7" t="s">
        <v>11</v>
      </c>
      <c r="E1439" s="7" t="s">
        <v>20</v>
      </c>
    </row>
    <row r="1440" spans="1:5" ht="12.75">
      <c r="A1440" s="6" t="str">
        <f>HYPERLINK(SUBSTITUTE(T(hl_0),"{0}","319332582402939"),hn_0)</f>
        <v>ОВ</v>
      </c>
      <c r="B1440" s="7" t="s">
        <v>403</v>
      </c>
      <c r="C1440" s="8">
        <v>8000</v>
      </c>
      <c r="D1440" s="7" t="s">
        <v>14</v>
      </c>
      <c r="E1440" s="7" t="s">
        <v>15</v>
      </c>
    </row>
    <row r="1441" spans="1:5" ht="12.75">
      <c r="A1441" s="6" t="str">
        <f>HYPERLINK(SUBSTITUTE(T(hl_0),"{0}","319332582402939"),hn_0)</f>
        <v>ОВ</v>
      </c>
      <c r="B1441" s="7" t="s">
        <v>403</v>
      </c>
      <c r="C1441" s="8">
        <v>8000</v>
      </c>
      <c r="D1441" s="7" t="s">
        <v>14</v>
      </c>
      <c r="E1441" s="7" t="s">
        <v>15</v>
      </c>
    </row>
    <row r="1442" spans="1:5" ht="12.75">
      <c r="A1442" s="6" t="str">
        <f>HYPERLINK(SUBSTITUTE(T(hl_0),"{0}","319331136295664"),hn_0)</f>
        <v>ОВ</v>
      </c>
      <c r="B1442" s="7" t="s">
        <v>403</v>
      </c>
      <c r="C1442" s="8">
        <v>8000</v>
      </c>
      <c r="D1442" s="7" t="s">
        <v>14</v>
      </c>
      <c r="E1442" s="7" t="s">
        <v>15</v>
      </c>
    </row>
    <row r="1443" spans="1:5" ht="12.75">
      <c r="A1443" s="6" t="str">
        <f>HYPERLINK(SUBSTITUTE(T(hl_0),"{0}","319331136295664"),hn_0)</f>
        <v>ОВ</v>
      </c>
      <c r="B1443" s="7" t="s">
        <v>403</v>
      </c>
      <c r="C1443" s="8">
        <v>8000</v>
      </c>
      <c r="D1443" s="7" t="s">
        <v>14</v>
      </c>
      <c r="E1443" s="7" t="s">
        <v>15</v>
      </c>
    </row>
    <row r="1444" spans="1:5" ht="25.5">
      <c r="A1444" s="6" t="str">
        <f>HYPERLINK(SUBSTITUTE(T(hl_0),"{0}","320332341710583"),hn_0)</f>
        <v>ОВ</v>
      </c>
      <c r="B1444" s="7" t="s">
        <v>403</v>
      </c>
      <c r="C1444" s="8">
        <v>6000</v>
      </c>
      <c r="D1444" s="7" t="s">
        <v>404</v>
      </c>
      <c r="E1444" s="7" t="s">
        <v>17</v>
      </c>
    </row>
    <row r="1445" spans="1:5" ht="12.75">
      <c r="A1445" s="6" t="str">
        <f>HYPERLINK(SUBSTITUTE(T(hl_0),"{0}","321332759485929"),hn_0)</f>
        <v>ОВ</v>
      </c>
      <c r="B1445" s="7" t="s">
        <v>403</v>
      </c>
      <c r="C1445" s="8">
        <v>5000</v>
      </c>
      <c r="D1445" s="7" t="s">
        <v>283</v>
      </c>
      <c r="E1445" s="7" t="s">
        <v>19</v>
      </c>
    </row>
    <row r="1446" spans="1:5" ht="12.75">
      <c r="A1446" s="6" t="str">
        <f>HYPERLINK(SUBSTITUTE(T(hl_0),"{0}","321332502894349"),hn_0)</f>
        <v>ОВ</v>
      </c>
      <c r="B1446" s="7" t="s">
        <v>403</v>
      </c>
      <c r="C1446" s="8">
        <v>5000</v>
      </c>
      <c r="D1446" s="7" t="s">
        <v>283</v>
      </c>
      <c r="E1446" s="7" t="s">
        <v>19</v>
      </c>
    </row>
    <row r="1447" spans="1:5" ht="12.75">
      <c r="A1447" s="6" t="str">
        <f>HYPERLINK(SUBSTITUTE(T(hl_0),"{0}","321326900186888"),hn_0)</f>
        <v>ОВ</v>
      </c>
      <c r="B1447" s="7" t="s">
        <v>403</v>
      </c>
      <c r="C1447" s="8">
        <v>5500</v>
      </c>
      <c r="D1447" s="7" t="s">
        <v>18</v>
      </c>
      <c r="E1447" s="7" t="s">
        <v>19</v>
      </c>
    </row>
    <row r="1448" spans="1:5" ht="12.75">
      <c r="A1448" s="6" t="str">
        <f>HYPERLINK(SUBSTITUTE(T(hl_0),"{0}","321331219762122"),hn_0)</f>
        <v>ОВ</v>
      </c>
      <c r="B1448" s="7" t="s">
        <v>403</v>
      </c>
      <c r="C1448" s="8">
        <v>8000</v>
      </c>
      <c r="D1448" s="7" t="s">
        <v>351</v>
      </c>
      <c r="E1448" s="7" t="s">
        <v>19</v>
      </c>
    </row>
    <row r="1449" spans="1:5" ht="12.75">
      <c r="A1449" s="6" t="str">
        <f>HYPERLINK(SUBSTITUTE(T(hl_0),"{0}","321331219820420"),hn_0)</f>
        <v>ОВ</v>
      </c>
      <c r="B1449" s="7" t="s">
        <v>403</v>
      </c>
      <c r="C1449" s="8">
        <v>8000</v>
      </c>
      <c r="D1449" s="7" t="s">
        <v>351</v>
      </c>
      <c r="E1449" s="7" t="s">
        <v>19</v>
      </c>
    </row>
    <row r="1450" spans="1:5" ht="12.75">
      <c r="A1450" s="6" t="str">
        <f>HYPERLINK(SUBSTITUTE(T(hl_0),"{0}","321331219813263"),hn_0)</f>
        <v>ОВ</v>
      </c>
      <c r="B1450" s="7" t="s">
        <v>403</v>
      </c>
      <c r="C1450" s="8">
        <v>8000</v>
      </c>
      <c r="D1450" s="7" t="s">
        <v>351</v>
      </c>
      <c r="E1450" s="7" t="s">
        <v>19</v>
      </c>
    </row>
    <row r="1451" spans="1:5" ht="12.75">
      <c r="A1451" s="6" t="str">
        <f>HYPERLINK(SUBSTITUTE(T(hl_0),"{0}","322332678794210"),hn_0)</f>
        <v>ОВ</v>
      </c>
      <c r="B1451" s="7" t="s">
        <v>403</v>
      </c>
      <c r="C1451" s="8">
        <v>5000</v>
      </c>
      <c r="D1451" s="7" t="s">
        <v>46</v>
      </c>
      <c r="E1451" s="7" t="s">
        <v>47</v>
      </c>
    </row>
    <row r="1452" spans="1:5" ht="12.75">
      <c r="A1452" s="6" t="str">
        <f>HYPERLINK(SUBSTITUTE(T(hl_0),"{0}","326332707478979"),hn_0)</f>
        <v>ОВ</v>
      </c>
      <c r="B1452" s="7" t="s">
        <v>403</v>
      </c>
      <c r="C1452" s="8">
        <v>5000</v>
      </c>
      <c r="D1452" s="7" t="s">
        <v>405</v>
      </c>
      <c r="E1452" s="7" t="s">
        <v>40</v>
      </c>
    </row>
    <row r="1453" spans="1:5" ht="12.75">
      <c r="A1453" s="6" t="str">
        <f>HYPERLINK(SUBSTITUTE(T(hl_0),"{0}","326332532328124"),hn_0)</f>
        <v>ОВ</v>
      </c>
      <c r="B1453" s="7" t="s">
        <v>403</v>
      </c>
      <c r="C1453" s="8">
        <v>5000</v>
      </c>
      <c r="D1453" s="7" t="s">
        <v>206</v>
      </c>
      <c r="E1453" s="7" t="s">
        <v>40</v>
      </c>
    </row>
    <row r="1454" spans="1:5" ht="12.75">
      <c r="A1454" s="6" t="str">
        <f>HYPERLINK(SUBSTITUTE(T(hl_0),"{0}","326331794933658"),hn_0)</f>
        <v>ОВ</v>
      </c>
      <c r="B1454" s="7" t="s">
        <v>403</v>
      </c>
      <c r="C1454" s="8">
        <v>6500</v>
      </c>
      <c r="D1454" s="7" t="s">
        <v>406</v>
      </c>
      <c r="E1454" s="7" t="s">
        <v>40</v>
      </c>
    </row>
    <row r="1455" spans="1:5" ht="12.75">
      <c r="A1455" s="6" t="str">
        <f>HYPERLINK(SUBSTITUTE(T(hl_0),"{0}","328331480576697"),hn_0)</f>
        <v>ОВ</v>
      </c>
      <c r="B1455" s="7" t="s">
        <v>403</v>
      </c>
      <c r="C1455" s="8">
        <v>8000</v>
      </c>
      <c r="D1455" s="7" t="s">
        <v>57</v>
      </c>
      <c r="E1455" s="7" t="s">
        <v>58</v>
      </c>
    </row>
    <row r="1456" spans="1:5" ht="12.75">
      <c r="A1456" s="6" t="str">
        <f>HYPERLINK(SUBSTITUTE(T(hl_0),"{0}","329332197216694"),hn_0)</f>
        <v>ОВ</v>
      </c>
      <c r="B1456" s="7" t="s">
        <v>403</v>
      </c>
      <c r="C1456" s="8">
        <v>6000</v>
      </c>
      <c r="D1456" s="7" t="s">
        <v>42</v>
      </c>
      <c r="E1456" s="7" t="s">
        <v>43</v>
      </c>
    </row>
    <row r="1457" spans="1:5" ht="12.75">
      <c r="A1457" s="6" t="str">
        <f>HYPERLINK(SUBSTITUTE(T(hl_0),"{0}","330332826447612"),hn_0)</f>
        <v>ОВ</v>
      </c>
      <c r="B1457" s="7" t="s">
        <v>403</v>
      </c>
      <c r="C1457" s="8">
        <v>10000</v>
      </c>
      <c r="D1457" s="7" t="s">
        <v>44</v>
      </c>
      <c r="E1457" s="7" t="s">
        <v>29</v>
      </c>
    </row>
    <row r="1458" spans="1:5" ht="12.75">
      <c r="A1458" s="6" t="str">
        <f>HYPERLINK(SUBSTITUTE(T(hl_0),"{0}","330332826148332"),hn_0)</f>
        <v>ОВ</v>
      </c>
      <c r="B1458" s="7" t="s">
        <v>403</v>
      </c>
      <c r="C1458" s="8">
        <v>10000</v>
      </c>
      <c r="D1458" s="7" t="s">
        <v>44</v>
      </c>
      <c r="E1458" s="7" t="s">
        <v>29</v>
      </c>
    </row>
    <row r="1459" spans="1:5" ht="12.75">
      <c r="A1459" s="6" t="str">
        <f>HYPERLINK(SUBSTITUTE(T(hl_0),"{0}","330332826148332"),hn_0)</f>
        <v>ОВ</v>
      </c>
      <c r="B1459" s="7" t="s">
        <v>403</v>
      </c>
      <c r="C1459" s="8">
        <v>10000</v>
      </c>
      <c r="D1459" s="7" t="s">
        <v>44</v>
      </c>
      <c r="E1459" s="7" t="s">
        <v>29</v>
      </c>
    </row>
    <row r="1460" spans="1:5" ht="12.75">
      <c r="A1460" s="6" t="str">
        <f>HYPERLINK(SUBSTITUTE(T(hl_0),"{0}","330331874856520"),hn_0)</f>
        <v>ОВ</v>
      </c>
      <c r="B1460" s="7" t="s">
        <v>403</v>
      </c>
      <c r="C1460" s="8">
        <v>5000</v>
      </c>
      <c r="D1460" s="7" t="s">
        <v>44</v>
      </c>
      <c r="E1460" s="7" t="s">
        <v>29</v>
      </c>
    </row>
    <row r="1461" spans="1:5" ht="12.75">
      <c r="A1461" s="6" t="str">
        <f>HYPERLINK(SUBSTITUTE(T(hl_0),"{0}","330332502799980"),hn_0)</f>
        <v>ОВ</v>
      </c>
      <c r="B1461" s="7" t="s">
        <v>403</v>
      </c>
      <c r="C1461" s="8">
        <v>10000</v>
      </c>
      <c r="D1461" s="7" t="s">
        <v>44</v>
      </c>
      <c r="E1461" s="7" t="s">
        <v>29</v>
      </c>
    </row>
    <row r="1462" spans="1:5" ht="12.75">
      <c r="A1462" s="6" t="str">
        <f>HYPERLINK(SUBSTITUTE(T(hl_0),"{0}","330331874866858"),hn_0)</f>
        <v>ОВ</v>
      </c>
      <c r="B1462" s="7" t="s">
        <v>403</v>
      </c>
      <c r="C1462" s="8">
        <v>5000</v>
      </c>
      <c r="D1462" s="7" t="s">
        <v>44</v>
      </c>
      <c r="E1462" s="7" t="s">
        <v>29</v>
      </c>
    </row>
    <row r="1463" spans="1:5" ht="12.75">
      <c r="A1463" s="6" t="str">
        <f>HYPERLINK(SUBSTITUTE(T(hl_0),"{0}","330331874866866"),hn_0)</f>
        <v>ОВ</v>
      </c>
      <c r="B1463" s="7" t="s">
        <v>403</v>
      </c>
      <c r="C1463" s="8">
        <v>5000</v>
      </c>
      <c r="D1463" s="7" t="s">
        <v>44</v>
      </c>
      <c r="E1463" s="7" t="s">
        <v>29</v>
      </c>
    </row>
    <row r="1464" spans="1:5" ht="12.75">
      <c r="A1464" s="6" t="str">
        <f>HYPERLINK(SUBSTITUTE(T(hl_0),"{0}","330331874866875"),hn_0)</f>
        <v>ОВ</v>
      </c>
      <c r="B1464" s="7" t="s">
        <v>403</v>
      </c>
      <c r="C1464" s="8">
        <v>5000</v>
      </c>
      <c r="D1464" s="7" t="s">
        <v>44</v>
      </c>
      <c r="E1464" s="7" t="s">
        <v>29</v>
      </c>
    </row>
    <row r="1465" spans="1:5" ht="12.75">
      <c r="A1465" s="6" t="str">
        <f>HYPERLINK(SUBSTITUTE(T(hl_0),"{0}","331332580989365"),hn_0)</f>
        <v>ОВ</v>
      </c>
      <c r="B1465" s="7" t="s">
        <v>403</v>
      </c>
      <c r="C1465" s="8">
        <v>5000</v>
      </c>
      <c r="D1465" s="7" t="s">
        <v>368</v>
      </c>
      <c r="E1465" s="7" t="s">
        <v>195</v>
      </c>
    </row>
    <row r="1466" spans="1:5" ht="12.75">
      <c r="A1466" s="6" t="str">
        <f>HYPERLINK(SUBSTITUTE(T(hl_0),"{0}","900332703663531"),hn_0)</f>
        <v>ОВ</v>
      </c>
      <c r="B1466" s="7" t="s">
        <v>403</v>
      </c>
      <c r="C1466" s="8">
        <v>5000</v>
      </c>
      <c r="D1466" s="7" t="s">
        <v>11</v>
      </c>
      <c r="E1466" s="7" t="s">
        <v>20</v>
      </c>
    </row>
    <row r="1467" spans="1:5" ht="12.75">
      <c r="A1467" s="6" t="str">
        <f>HYPERLINK(SUBSTITUTE(T(hl_0),"{0}","900331796172026"),hn_0)</f>
        <v>ОВ</v>
      </c>
      <c r="B1467" s="7" t="s">
        <v>403</v>
      </c>
      <c r="C1467" s="8">
        <v>5000</v>
      </c>
      <c r="D1467" s="7" t="s">
        <v>11</v>
      </c>
      <c r="E1467" s="7" t="s">
        <v>20</v>
      </c>
    </row>
    <row r="1468" spans="1:5" ht="12.75">
      <c r="A1468" s="6" t="str">
        <f>HYPERLINK(SUBSTITUTE(T(hl_0),"{0}","900331673732691"),hn_0)</f>
        <v>ОВ</v>
      </c>
      <c r="B1468" s="7" t="s">
        <v>407</v>
      </c>
      <c r="C1468" s="8">
        <v>13740</v>
      </c>
      <c r="D1468" s="7" t="s">
        <v>11</v>
      </c>
      <c r="E1468" s="7" t="s">
        <v>20</v>
      </c>
    </row>
    <row r="1469" spans="1:5" ht="12.75">
      <c r="A1469" s="6" t="str">
        <f>HYPERLINK(SUBSTITUTE(T(hl_0),"{0}","327328111097824"),hn_0)</f>
        <v>ОВ</v>
      </c>
      <c r="B1469" s="7" t="s">
        <v>408</v>
      </c>
      <c r="C1469" s="8">
        <v>5000</v>
      </c>
      <c r="D1469" s="7" t="s">
        <v>41</v>
      </c>
      <c r="E1469" s="7" t="s">
        <v>12</v>
      </c>
    </row>
    <row r="1470" spans="1:5" ht="12.75">
      <c r="A1470" s="6" t="str">
        <f>HYPERLINK(SUBSTITUTE(T(hl_0),"{0}","319332224124495"),hn_0)</f>
        <v>ОВ</v>
      </c>
      <c r="B1470" s="7" t="s">
        <v>409</v>
      </c>
      <c r="C1470" s="8">
        <v>5100</v>
      </c>
      <c r="D1470" s="7" t="s">
        <v>14</v>
      </c>
      <c r="E1470" s="7" t="s">
        <v>15</v>
      </c>
    </row>
    <row r="1471" spans="1:5" ht="12.75">
      <c r="A1471" s="6" t="str">
        <f>HYPERLINK(SUBSTITUTE(T(hl_0),"{0}","319332224154566"),hn_0)</f>
        <v>ОВ</v>
      </c>
      <c r="B1471" s="7" t="s">
        <v>409</v>
      </c>
      <c r="C1471" s="8">
        <v>5100</v>
      </c>
      <c r="D1471" s="7" t="s">
        <v>14</v>
      </c>
      <c r="E1471" s="7" t="s">
        <v>15</v>
      </c>
    </row>
    <row r="1472" spans="1:5" ht="12.75">
      <c r="A1472" s="6" t="str">
        <f>HYPERLINK(SUBSTITUTE(T(hl_0),"{0}","327328111040089"),hn_0)</f>
        <v>ОВ</v>
      </c>
      <c r="B1472" s="7" t="s">
        <v>409</v>
      </c>
      <c r="C1472" s="8">
        <v>5000</v>
      </c>
      <c r="D1472" s="7" t="s">
        <v>41</v>
      </c>
      <c r="E1472" s="7" t="s">
        <v>12</v>
      </c>
    </row>
    <row r="1473" spans="1:5" ht="12.75">
      <c r="A1473" s="6" t="str">
        <f>HYPERLINK(SUBSTITUTE(T(hl_0),"{0}","900331562633362"),hn_0)</f>
        <v>ОВ</v>
      </c>
      <c r="B1473" s="7" t="s">
        <v>409</v>
      </c>
      <c r="C1473" s="8">
        <v>7916</v>
      </c>
      <c r="D1473" s="7" t="s">
        <v>11</v>
      </c>
      <c r="E1473" s="7" t="s">
        <v>20</v>
      </c>
    </row>
    <row r="1474" spans="1:5" ht="12.75">
      <c r="A1474" s="6" t="str">
        <f>HYPERLINK(SUBSTITUTE(T(hl_0),"{0}","900331024351515"),hn_0)</f>
        <v>ОВ</v>
      </c>
      <c r="B1474" s="7" t="s">
        <v>409</v>
      </c>
      <c r="C1474" s="8">
        <v>9000</v>
      </c>
      <c r="D1474" s="7" t="s">
        <v>11</v>
      </c>
      <c r="E1474" s="7" t="s">
        <v>20</v>
      </c>
    </row>
    <row r="1475" spans="1:5" ht="12.75">
      <c r="A1475" s="6" t="str">
        <f>HYPERLINK(SUBSTITUTE(T(hl_0),"{0}","327328111066318"),hn_0)</f>
        <v>ОВ</v>
      </c>
      <c r="B1475" s="7" t="s">
        <v>410</v>
      </c>
      <c r="C1475" s="8">
        <v>5000</v>
      </c>
      <c r="D1475" s="7" t="s">
        <v>41</v>
      </c>
      <c r="E1475" s="7" t="s">
        <v>12</v>
      </c>
    </row>
    <row r="1476" spans="1:5" ht="12.75">
      <c r="A1476" s="6" t="str">
        <f>HYPERLINK(SUBSTITUTE(T(hl_0),"{0}","900330084301062"),hn_0)</f>
        <v>ОВ</v>
      </c>
      <c r="B1476" s="7" t="s">
        <v>410</v>
      </c>
      <c r="C1476" s="8">
        <v>7000</v>
      </c>
      <c r="D1476" s="7" t="s">
        <v>11</v>
      </c>
      <c r="E1476" s="7" t="s">
        <v>20</v>
      </c>
    </row>
    <row r="1477" spans="1:5" ht="25.5">
      <c r="A1477" s="6" t="str">
        <f>HYPERLINK(SUBSTITUTE(T(hl_0),"{0}","900332556294118"),hn_0)</f>
        <v>ОВ</v>
      </c>
      <c r="B1477" s="7" t="s">
        <v>411</v>
      </c>
      <c r="C1477" s="8">
        <v>7000</v>
      </c>
      <c r="D1477" s="7" t="s">
        <v>11</v>
      </c>
      <c r="E1477" s="7" t="s">
        <v>20</v>
      </c>
    </row>
    <row r="1478" spans="1:5" ht="25.5">
      <c r="A1478" s="6" t="str">
        <f>HYPERLINK(SUBSTITUTE(T(hl_0),"{0}","327332581675753"),hn_0)</f>
        <v>ОВ</v>
      </c>
      <c r="B1478" s="7" t="s">
        <v>412</v>
      </c>
      <c r="C1478" s="8">
        <v>8000</v>
      </c>
      <c r="D1478" s="7" t="s">
        <v>11</v>
      </c>
      <c r="E1478" s="7" t="s">
        <v>12</v>
      </c>
    </row>
    <row r="1479" spans="1:5" ht="12.75">
      <c r="A1479" s="6" t="str">
        <f>HYPERLINK(SUBSTITUTE(T(hl_0),"{0}","330331507008386"),hn_0)</f>
        <v>ОВ</v>
      </c>
      <c r="B1479" s="7" t="s">
        <v>413</v>
      </c>
      <c r="C1479" s="8">
        <v>6500</v>
      </c>
      <c r="D1479" s="7" t="s">
        <v>252</v>
      </c>
      <c r="E1479" s="7" t="s">
        <v>29</v>
      </c>
    </row>
    <row r="1480" spans="1:5" ht="12.75">
      <c r="A1480" s="6" t="str">
        <f>HYPERLINK(SUBSTITUTE(T(hl_0),"{0}","900330803773501"),hn_0)</f>
        <v>ОВ</v>
      </c>
      <c r="B1480" s="7" t="s">
        <v>414</v>
      </c>
      <c r="C1480" s="8">
        <v>7000</v>
      </c>
      <c r="D1480" s="7" t="s">
        <v>11</v>
      </c>
      <c r="E1480" s="7" t="s">
        <v>20</v>
      </c>
    </row>
    <row r="1481" spans="1:5" ht="12.75">
      <c r="A1481" s="6" t="str">
        <f>HYPERLINK(SUBSTITUTE(T(hl_0),"{0}","900332732487867"),hn_0)</f>
        <v>ОВ</v>
      </c>
      <c r="B1481" s="7" t="s">
        <v>415</v>
      </c>
      <c r="C1481" s="8">
        <v>5000</v>
      </c>
      <c r="D1481" s="7" t="s">
        <v>11</v>
      </c>
      <c r="E1481" s="7" t="s">
        <v>20</v>
      </c>
    </row>
    <row r="1482" spans="1:5" ht="12.75">
      <c r="A1482" s="6" t="str">
        <f>HYPERLINK(SUBSTITUTE(T(hl_0),"{0}","329331726264335"),hn_0)</f>
        <v>ОВ</v>
      </c>
      <c r="B1482" s="7" t="s">
        <v>416</v>
      </c>
      <c r="C1482" s="8">
        <v>7000</v>
      </c>
      <c r="D1482" s="7" t="s">
        <v>42</v>
      </c>
      <c r="E1482" s="7" t="s">
        <v>43</v>
      </c>
    </row>
    <row r="1483" spans="1:5" ht="12.75">
      <c r="A1483" s="6" t="str">
        <f>HYPERLINK(SUBSTITUTE(T(hl_0),"{0}","900332417151490"),hn_0)</f>
        <v>ОВ</v>
      </c>
      <c r="B1483" s="7" t="s">
        <v>416</v>
      </c>
      <c r="C1483" s="8">
        <v>5000</v>
      </c>
      <c r="D1483" s="7" t="s">
        <v>199</v>
      </c>
      <c r="E1483" s="7" t="s">
        <v>20</v>
      </c>
    </row>
    <row r="1484" spans="1:5" ht="12.75">
      <c r="A1484" s="6" t="str">
        <f>HYPERLINK(SUBSTITUTE(T(hl_0),"{0}","900332417257393"),hn_0)</f>
        <v>ОВ</v>
      </c>
      <c r="B1484" s="7" t="s">
        <v>416</v>
      </c>
      <c r="C1484" s="8">
        <v>5000</v>
      </c>
      <c r="D1484" s="7" t="s">
        <v>417</v>
      </c>
      <c r="E1484" s="7" t="s">
        <v>20</v>
      </c>
    </row>
    <row r="1485" spans="1:5" ht="12.75">
      <c r="A1485" s="6" t="str">
        <f>HYPERLINK(SUBSTITUTE(T(hl_0),"{0}","900332416759137"),hn_0)</f>
        <v>ОВ</v>
      </c>
      <c r="B1485" s="7" t="s">
        <v>416</v>
      </c>
      <c r="C1485" s="8">
        <v>5000</v>
      </c>
      <c r="D1485" s="7" t="s">
        <v>145</v>
      </c>
      <c r="E1485" s="7" t="s">
        <v>20</v>
      </c>
    </row>
    <row r="1486" spans="1:5" ht="12.75">
      <c r="A1486" s="6" t="str">
        <f>HYPERLINK(SUBSTITUTE(T(hl_0),"{0}","900332416759137"),hn_0)</f>
        <v>ОВ</v>
      </c>
      <c r="B1486" s="7" t="s">
        <v>416</v>
      </c>
      <c r="C1486" s="8">
        <v>5000</v>
      </c>
      <c r="D1486" s="7" t="s">
        <v>145</v>
      </c>
      <c r="E1486" s="7" t="s">
        <v>20</v>
      </c>
    </row>
    <row r="1487" spans="1:5" ht="12.75">
      <c r="A1487" s="6" t="str">
        <f>HYPERLINK(SUBSTITUTE(T(hl_0),"{0}","900332416759137"),hn_0)</f>
        <v>ОВ</v>
      </c>
      <c r="B1487" s="7" t="s">
        <v>416</v>
      </c>
      <c r="C1487" s="8">
        <v>5000</v>
      </c>
      <c r="D1487" s="7" t="s">
        <v>145</v>
      </c>
      <c r="E1487" s="7" t="s">
        <v>20</v>
      </c>
    </row>
    <row r="1488" spans="1:5" ht="12.75">
      <c r="A1488" s="6" t="str">
        <f>HYPERLINK(SUBSTITUTE(T(hl_0),"{0}","900332417163926"),hn_0)</f>
        <v>ОВ</v>
      </c>
      <c r="B1488" s="7" t="s">
        <v>416</v>
      </c>
      <c r="C1488" s="8">
        <v>5000</v>
      </c>
      <c r="D1488" s="7" t="s">
        <v>199</v>
      </c>
      <c r="E1488" s="7" t="s">
        <v>20</v>
      </c>
    </row>
    <row r="1489" spans="1:5" ht="12.75">
      <c r="A1489" s="6" t="str">
        <f>HYPERLINK(SUBSTITUTE(T(hl_0),"{0}","900332416736831"),hn_0)</f>
        <v>ОВ</v>
      </c>
      <c r="B1489" s="7" t="s">
        <v>416</v>
      </c>
      <c r="C1489" s="8">
        <v>5000</v>
      </c>
      <c r="D1489" s="7" t="s">
        <v>145</v>
      </c>
      <c r="E1489" s="7" t="s">
        <v>20</v>
      </c>
    </row>
    <row r="1490" spans="1:5" ht="12.75">
      <c r="A1490" s="6" t="str">
        <f>HYPERLINK(SUBSTITUTE(T(hl_0),"{0}","900332416736831"),hn_0)</f>
        <v>ОВ</v>
      </c>
      <c r="B1490" s="7" t="s">
        <v>416</v>
      </c>
      <c r="C1490" s="8">
        <v>5000</v>
      </c>
      <c r="D1490" s="7" t="s">
        <v>145</v>
      </c>
      <c r="E1490" s="7" t="s">
        <v>20</v>
      </c>
    </row>
    <row r="1491" spans="1:5" ht="12.75">
      <c r="A1491" s="6" t="str">
        <f>HYPERLINK(SUBSTITUTE(T(hl_0),"{0}","900332416736831"),hn_0)</f>
        <v>ОВ</v>
      </c>
      <c r="B1491" s="7" t="s">
        <v>416</v>
      </c>
      <c r="C1491" s="8">
        <v>5000</v>
      </c>
      <c r="D1491" s="7" t="s">
        <v>145</v>
      </c>
      <c r="E1491" s="7" t="s">
        <v>20</v>
      </c>
    </row>
    <row r="1492" spans="1:5" ht="12.75">
      <c r="A1492" s="6" t="str">
        <f>HYPERLINK(SUBSTITUTE(T(hl_0),"{0}","900332417278983"),hn_0)</f>
        <v>ОВ</v>
      </c>
      <c r="B1492" s="7" t="s">
        <v>416</v>
      </c>
      <c r="C1492" s="8">
        <v>5000</v>
      </c>
      <c r="D1492" s="7" t="s">
        <v>417</v>
      </c>
      <c r="E1492" s="7" t="s">
        <v>20</v>
      </c>
    </row>
    <row r="1493" spans="1:5" ht="12.75">
      <c r="A1493" s="6" t="str">
        <f>HYPERLINK(SUBSTITUTE(T(hl_0),"{0}","900328479070199"),hn_0)</f>
        <v>ОВ</v>
      </c>
      <c r="B1493" s="7" t="s">
        <v>416</v>
      </c>
      <c r="C1493" s="8">
        <v>5000</v>
      </c>
      <c r="D1493" s="7" t="s">
        <v>11</v>
      </c>
      <c r="E1493" s="7" t="s">
        <v>20</v>
      </c>
    </row>
    <row r="1494" spans="1:5" ht="12.75">
      <c r="A1494" s="6" t="str">
        <f>HYPERLINK(SUBSTITUTE(T(hl_0),"{0}","900328479070199"),hn_0)</f>
        <v>ОВ</v>
      </c>
      <c r="B1494" s="7" t="s">
        <v>416</v>
      </c>
      <c r="C1494" s="8">
        <v>5000</v>
      </c>
      <c r="D1494" s="7" t="s">
        <v>11</v>
      </c>
      <c r="E1494" s="7" t="s">
        <v>20</v>
      </c>
    </row>
    <row r="1495" spans="1:5" ht="12.75">
      <c r="A1495" s="6" t="str">
        <f>HYPERLINK(SUBSTITUTE(T(hl_0),"{0}","900328479070199"),hn_0)</f>
        <v>ОВ</v>
      </c>
      <c r="B1495" s="7" t="s">
        <v>416</v>
      </c>
      <c r="C1495" s="8">
        <v>5000</v>
      </c>
      <c r="D1495" s="7" t="s">
        <v>11</v>
      </c>
      <c r="E1495" s="7" t="s">
        <v>20</v>
      </c>
    </row>
    <row r="1496" spans="1:5" ht="12.75">
      <c r="A1496" s="6" t="str">
        <f>HYPERLINK(SUBSTITUTE(T(hl_0),"{0}","900331701591714"),hn_0)</f>
        <v>ОВ</v>
      </c>
      <c r="B1496" s="7" t="s">
        <v>416</v>
      </c>
      <c r="C1496" s="8">
        <v>5000</v>
      </c>
      <c r="D1496" s="7" t="s">
        <v>363</v>
      </c>
      <c r="E1496" s="7" t="s">
        <v>20</v>
      </c>
    </row>
    <row r="1497" spans="1:5" ht="12.75">
      <c r="A1497" s="6" t="str">
        <f>HYPERLINK(SUBSTITUTE(T(hl_0),"{0}","900332197056899"),hn_0)</f>
        <v>ОВ</v>
      </c>
      <c r="B1497" s="7" t="s">
        <v>416</v>
      </c>
      <c r="C1497" s="8">
        <v>7000</v>
      </c>
      <c r="D1497" s="7" t="s">
        <v>11</v>
      </c>
      <c r="E1497" s="7" t="s">
        <v>20</v>
      </c>
    </row>
    <row r="1498" spans="1:5" ht="12.75">
      <c r="A1498" s="6" t="str">
        <f>HYPERLINK(SUBSTITUTE(T(hl_0),"{0}","900332343883921"),hn_0)</f>
        <v>ОВ</v>
      </c>
      <c r="B1498" s="7" t="s">
        <v>416</v>
      </c>
      <c r="C1498" s="8">
        <v>6250</v>
      </c>
      <c r="D1498" s="7" t="s">
        <v>11</v>
      </c>
      <c r="E1498" s="7" t="s">
        <v>20</v>
      </c>
    </row>
    <row r="1499" spans="1:5" ht="12.75">
      <c r="A1499" s="6" t="str">
        <f>HYPERLINK(SUBSTITUTE(T(hl_0),"{0}","900332197036407"),hn_0)</f>
        <v>ОВ</v>
      </c>
      <c r="B1499" s="7" t="s">
        <v>416</v>
      </c>
      <c r="C1499" s="8">
        <v>7000</v>
      </c>
      <c r="D1499" s="7" t="s">
        <v>11</v>
      </c>
      <c r="E1499" s="7" t="s">
        <v>20</v>
      </c>
    </row>
    <row r="1500" spans="1:5" ht="12.75">
      <c r="A1500" s="6" t="str">
        <f>HYPERLINK(SUBSTITUTE(T(hl_0),"{0}","328331872216780"),hn_0)</f>
        <v>ОВ</v>
      </c>
      <c r="B1500" s="7" t="s">
        <v>418</v>
      </c>
      <c r="C1500" s="8">
        <v>5500</v>
      </c>
      <c r="D1500" s="7" t="s">
        <v>57</v>
      </c>
      <c r="E1500" s="7" t="s">
        <v>58</v>
      </c>
    </row>
    <row r="1501" spans="1:5" ht="12.75">
      <c r="A1501" s="6" t="str">
        <f>HYPERLINK(SUBSTITUTE(T(hl_0),"{0}","900332416998018"),hn_0)</f>
        <v>ОВ</v>
      </c>
      <c r="B1501" s="7" t="s">
        <v>418</v>
      </c>
      <c r="C1501" s="8">
        <v>5060</v>
      </c>
      <c r="D1501" s="7" t="s">
        <v>57</v>
      </c>
      <c r="E1501" s="7" t="s">
        <v>20</v>
      </c>
    </row>
    <row r="1502" spans="1:5" ht="12.75">
      <c r="A1502" s="6" t="str">
        <f>HYPERLINK(SUBSTITUTE(T(hl_0),"{0}","319332581623716"),hn_0)</f>
        <v>ОВ</v>
      </c>
      <c r="B1502" s="7" t="s">
        <v>419</v>
      </c>
      <c r="C1502" s="8">
        <v>5800</v>
      </c>
      <c r="D1502" s="7" t="s">
        <v>14</v>
      </c>
      <c r="E1502" s="7" t="s">
        <v>15</v>
      </c>
    </row>
    <row r="1503" spans="1:5" ht="12.75">
      <c r="A1503" s="6" t="str">
        <f>HYPERLINK(SUBSTITUTE(T(hl_0),"{0}","319332704296033"),hn_0)</f>
        <v>ОВ</v>
      </c>
      <c r="B1503" s="7" t="s">
        <v>419</v>
      </c>
      <c r="C1503" s="8">
        <v>5800</v>
      </c>
      <c r="D1503" s="7" t="s">
        <v>14</v>
      </c>
      <c r="E1503" s="7" t="s">
        <v>15</v>
      </c>
    </row>
    <row r="1504" spans="1:5" ht="12.75">
      <c r="A1504" s="6" t="str">
        <f>HYPERLINK(SUBSTITUTE(T(hl_0),"{0}","321332703819376"),hn_0)</f>
        <v>ОВ</v>
      </c>
      <c r="B1504" s="7" t="s">
        <v>420</v>
      </c>
      <c r="C1504" s="8">
        <v>6000</v>
      </c>
      <c r="D1504" s="7" t="s">
        <v>18</v>
      </c>
      <c r="E1504" s="7" t="s">
        <v>19</v>
      </c>
    </row>
    <row r="1505" spans="1:5" ht="12.75">
      <c r="A1505" s="6" t="str">
        <f>HYPERLINK(SUBSTITUTE(T(hl_0),"{0}","321332703819376"),hn_0)</f>
        <v>ОВ</v>
      </c>
      <c r="B1505" s="7" t="s">
        <v>420</v>
      </c>
      <c r="C1505" s="8">
        <v>6000</v>
      </c>
      <c r="D1505" s="7" t="s">
        <v>18</v>
      </c>
      <c r="E1505" s="7" t="s">
        <v>19</v>
      </c>
    </row>
    <row r="1506" spans="1:5" ht="12.75">
      <c r="A1506" s="6" t="str">
        <f>HYPERLINK(SUBSTITUTE(T(hl_0),"{0}","321332146928223"),hn_0)</f>
        <v>ОВ</v>
      </c>
      <c r="B1506" s="7" t="s">
        <v>420</v>
      </c>
      <c r="C1506" s="8">
        <v>5700</v>
      </c>
      <c r="D1506" s="7" t="s">
        <v>18</v>
      </c>
      <c r="E1506" s="7" t="s">
        <v>19</v>
      </c>
    </row>
    <row r="1507" spans="1:5" ht="12.75">
      <c r="A1507" s="6" t="str">
        <f>HYPERLINK(SUBSTITUTE(T(hl_0),"{0}","900331794935205"),hn_0)</f>
        <v>ОВ</v>
      </c>
      <c r="B1507" s="7" t="s">
        <v>421</v>
      </c>
      <c r="C1507" s="8">
        <v>9224</v>
      </c>
      <c r="D1507" s="7" t="s">
        <v>18</v>
      </c>
      <c r="E1507" s="7" t="s">
        <v>20</v>
      </c>
    </row>
    <row r="1508" spans="1:5" ht="12.75">
      <c r="A1508" s="6" t="str">
        <f>HYPERLINK(SUBSTITUTE(T(hl_0),"{0}","900331626243776"),hn_0)</f>
        <v>ОВ</v>
      </c>
      <c r="B1508" s="7" t="s">
        <v>421</v>
      </c>
      <c r="C1508" s="8">
        <v>6720</v>
      </c>
      <c r="D1508" s="7" t="s">
        <v>11</v>
      </c>
      <c r="E1508" s="7" t="s">
        <v>20</v>
      </c>
    </row>
    <row r="1509" spans="1:5" ht="12.75">
      <c r="A1509" s="6" t="str">
        <f>HYPERLINK(SUBSTITUTE(T(hl_0),"{0}","900331794924837"),hn_0)</f>
        <v>ОВ</v>
      </c>
      <c r="B1509" s="7" t="s">
        <v>421</v>
      </c>
      <c r="C1509" s="8">
        <v>9224</v>
      </c>
      <c r="D1509" s="7" t="s">
        <v>206</v>
      </c>
      <c r="E1509" s="7" t="s">
        <v>20</v>
      </c>
    </row>
    <row r="1510" spans="1:5" ht="12.75">
      <c r="A1510" s="6" t="str">
        <f>HYPERLINK(SUBSTITUTE(T(hl_0),"{0}","900331794894239"),hn_0)</f>
        <v>ОВ</v>
      </c>
      <c r="B1510" s="7" t="s">
        <v>421</v>
      </c>
      <c r="C1510" s="8">
        <v>7320</v>
      </c>
      <c r="D1510" s="7" t="s">
        <v>42</v>
      </c>
      <c r="E1510" s="7" t="s">
        <v>20</v>
      </c>
    </row>
    <row r="1511" spans="1:5" ht="12.75">
      <c r="A1511" s="6" t="str">
        <f>HYPERLINK(SUBSTITUTE(T(hl_0),"{0}","900331794992784"),hn_0)</f>
        <v>ОВ</v>
      </c>
      <c r="B1511" s="7" t="s">
        <v>421</v>
      </c>
      <c r="C1511" s="8">
        <v>8093</v>
      </c>
      <c r="D1511" s="7" t="s">
        <v>37</v>
      </c>
      <c r="E1511" s="7" t="s">
        <v>20</v>
      </c>
    </row>
    <row r="1512" spans="1:5" ht="12.75">
      <c r="A1512" s="6" t="str">
        <f>HYPERLINK(SUBSTITUTE(T(hl_0),"{0}","900331795007366"),hn_0)</f>
        <v>ОВ</v>
      </c>
      <c r="B1512" s="7" t="s">
        <v>421</v>
      </c>
      <c r="C1512" s="8">
        <v>8093</v>
      </c>
      <c r="D1512" s="7" t="s">
        <v>208</v>
      </c>
      <c r="E1512" s="7" t="s">
        <v>20</v>
      </c>
    </row>
    <row r="1513" spans="1:5" ht="12.75">
      <c r="A1513" s="6" t="str">
        <f>HYPERLINK(SUBSTITUTE(T(hl_0),"{0}","900331795011656"),hn_0)</f>
        <v>ОВ</v>
      </c>
      <c r="B1513" s="7" t="s">
        <v>421</v>
      </c>
      <c r="C1513" s="8">
        <v>8093</v>
      </c>
      <c r="D1513" s="7" t="s">
        <v>42</v>
      </c>
      <c r="E1513" s="7" t="s">
        <v>20</v>
      </c>
    </row>
    <row r="1514" spans="1:5" ht="12.75">
      <c r="A1514" s="6" t="str">
        <f>HYPERLINK(SUBSTITUTE(T(hl_0),"{0}","900331794939543"),hn_0)</f>
        <v>ОВ</v>
      </c>
      <c r="B1514" s="7" t="s">
        <v>421</v>
      </c>
      <c r="C1514" s="8">
        <v>9224</v>
      </c>
      <c r="D1514" s="7" t="s">
        <v>223</v>
      </c>
      <c r="E1514" s="7" t="s">
        <v>20</v>
      </c>
    </row>
    <row r="1515" spans="1:5" ht="12.75">
      <c r="A1515" s="6" t="str">
        <f>HYPERLINK(SUBSTITUTE(T(hl_0),"{0}","900327859759420"),hn_0)</f>
        <v>ОВ</v>
      </c>
      <c r="B1515" s="7" t="s">
        <v>421</v>
      </c>
      <c r="C1515" s="8">
        <v>9224</v>
      </c>
      <c r="D1515" s="7" t="s">
        <v>11</v>
      </c>
      <c r="E1515" s="7" t="s">
        <v>20</v>
      </c>
    </row>
    <row r="1516" spans="1:5" ht="12.75">
      <c r="A1516" s="6" t="str">
        <f>HYPERLINK(SUBSTITUTE(T(hl_0),"{0}","900327859794959"),hn_0)</f>
        <v>ОВ</v>
      </c>
      <c r="B1516" s="7" t="s">
        <v>421</v>
      </c>
      <c r="C1516" s="8">
        <v>7320</v>
      </c>
      <c r="D1516" s="7" t="s">
        <v>11</v>
      </c>
      <c r="E1516" s="7" t="s">
        <v>20</v>
      </c>
    </row>
    <row r="1517" spans="1:5" ht="12.75">
      <c r="A1517" s="6" t="str">
        <f>HYPERLINK(SUBSTITUTE(T(hl_0),"{0}","900327859485350"),hn_0)</f>
        <v>ОВ</v>
      </c>
      <c r="B1517" s="7" t="s">
        <v>421</v>
      </c>
      <c r="C1517" s="8">
        <v>7320</v>
      </c>
      <c r="D1517" s="7" t="s">
        <v>11</v>
      </c>
      <c r="E1517" s="7" t="s">
        <v>20</v>
      </c>
    </row>
    <row r="1518" spans="1:5" ht="12.75">
      <c r="A1518" s="6" t="str">
        <f>HYPERLINK(SUBSTITUTE(T(hl_0),"{0}","900327859642442"),hn_0)</f>
        <v>ОВ</v>
      </c>
      <c r="B1518" s="7" t="s">
        <v>421</v>
      </c>
      <c r="C1518" s="8">
        <v>7320</v>
      </c>
      <c r="D1518" s="7" t="s">
        <v>11</v>
      </c>
      <c r="E1518" s="7" t="s">
        <v>20</v>
      </c>
    </row>
    <row r="1519" spans="1:5" ht="12.75">
      <c r="A1519" s="6" t="str">
        <f>HYPERLINK(SUBSTITUTE(T(hl_0),"{0}","326331970916695"),hn_0)</f>
        <v>ОВ</v>
      </c>
      <c r="B1519" s="7" t="s">
        <v>422</v>
      </c>
      <c r="C1519" s="8">
        <v>6500</v>
      </c>
      <c r="D1519" s="7" t="s">
        <v>206</v>
      </c>
      <c r="E1519" s="7" t="s">
        <v>40</v>
      </c>
    </row>
    <row r="1520" spans="1:5" ht="12.75">
      <c r="A1520" s="6" t="str">
        <f>HYPERLINK(SUBSTITUTE(T(hl_0),"{0}","321332678936300"),hn_0)</f>
        <v>ОВ</v>
      </c>
      <c r="B1520" s="7" t="s">
        <v>423</v>
      </c>
      <c r="C1520" s="8">
        <v>7000</v>
      </c>
      <c r="D1520" s="7" t="s">
        <v>18</v>
      </c>
      <c r="E1520" s="7" t="s">
        <v>19</v>
      </c>
    </row>
    <row r="1521" spans="1:5" ht="12.75">
      <c r="A1521" s="6" t="str">
        <f>HYPERLINK(SUBSTITUTE(T(hl_0),"{0}","319330166290442"),hn_0)</f>
        <v>ОВ</v>
      </c>
      <c r="B1521" s="7" t="s">
        <v>424</v>
      </c>
      <c r="C1521" s="8">
        <v>8500</v>
      </c>
      <c r="D1521" s="7" t="s">
        <v>14</v>
      </c>
      <c r="E1521" s="7" t="s">
        <v>15</v>
      </c>
    </row>
    <row r="1522" spans="1:5" ht="12.75">
      <c r="A1522" s="6" t="str">
        <f>HYPERLINK(SUBSTITUTE(T(hl_0),"{0}","319332647090631"),hn_0)</f>
        <v>ОВ</v>
      </c>
      <c r="B1522" s="7" t="s">
        <v>425</v>
      </c>
      <c r="C1522" s="8">
        <v>5000</v>
      </c>
      <c r="D1522" s="7" t="s">
        <v>14</v>
      </c>
      <c r="E1522" s="7" t="s">
        <v>15</v>
      </c>
    </row>
    <row r="1523" spans="1:5" ht="12.75">
      <c r="A1523" s="6" t="str">
        <f>HYPERLINK(SUBSTITUTE(T(hl_0),"{0}","319332647087063"),hn_0)</f>
        <v>ОВ</v>
      </c>
      <c r="B1523" s="7" t="s">
        <v>425</v>
      </c>
      <c r="C1523" s="8">
        <v>5000</v>
      </c>
      <c r="D1523" s="7" t="s">
        <v>14</v>
      </c>
      <c r="E1523" s="7" t="s">
        <v>15</v>
      </c>
    </row>
    <row r="1524" spans="1:5" ht="12.75">
      <c r="A1524" s="6" t="str">
        <f>HYPERLINK(SUBSTITUTE(T(hl_0),"{0}","321332652489324"),hn_0)</f>
        <v>ОВ</v>
      </c>
      <c r="B1524" s="7" t="s">
        <v>426</v>
      </c>
      <c r="C1524" s="8">
        <v>7000</v>
      </c>
      <c r="D1524" s="7" t="s">
        <v>18</v>
      </c>
      <c r="E1524" s="7" t="s">
        <v>19</v>
      </c>
    </row>
    <row r="1525" spans="1:5" ht="12.75">
      <c r="A1525" s="6" t="str">
        <f>HYPERLINK(SUBSTITUTE(T(hl_0),"{0}","321331626137363"),hn_0)</f>
        <v>ОВ</v>
      </c>
      <c r="B1525" s="7" t="s">
        <v>426</v>
      </c>
      <c r="C1525" s="8">
        <v>6500</v>
      </c>
      <c r="D1525" s="7" t="s">
        <v>427</v>
      </c>
      <c r="E1525" s="7" t="s">
        <v>19</v>
      </c>
    </row>
    <row r="1526" spans="1:5" ht="12.75">
      <c r="A1526" s="6" t="str">
        <f>HYPERLINK(SUBSTITUTE(T(hl_0),"{0}","326327467500164"),hn_0)</f>
        <v>ОВ</v>
      </c>
      <c r="B1526" s="7" t="s">
        <v>426</v>
      </c>
      <c r="C1526" s="8">
        <v>5500</v>
      </c>
      <c r="D1526" s="7" t="s">
        <v>375</v>
      </c>
      <c r="E1526" s="7" t="s">
        <v>40</v>
      </c>
    </row>
    <row r="1527" spans="1:5" ht="12.75">
      <c r="A1527" s="6" t="str">
        <f>HYPERLINK(SUBSTITUTE(T(hl_0),"{0}","330332340940806"),hn_0)</f>
        <v>ОВ</v>
      </c>
      <c r="B1527" s="7" t="s">
        <v>426</v>
      </c>
      <c r="C1527" s="8">
        <v>6500</v>
      </c>
      <c r="D1527" s="7" t="s">
        <v>28</v>
      </c>
      <c r="E1527" s="7" t="s">
        <v>29</v>
      </c>
    </row>
    <row r="1528" spans="1:5" ht="12.75">
      <c r="A1528" s="6" t="str">
        <f>HYPERLINK(SUBSTITUTE(T(hl_0),"{0}","900332680061552"),hn_0)</f>
        <v>ОВ</v>
      </c>
      <c r="B1528" s="7" t="s">
        <v>428</v>
      </c>
      <c r="C1528" s="8">
        <v>7000</v>
      </c>
      <c r="D1528" s="7" t="s">
        <v>11</v>
      </c>
      <c r="E1528" s="7" t="s">
        <v>20</v>
      </c>
    </row>
    <row r="1529" spans="1:5" ht="12.75">
      <c r="A1529" s="6" t="str">
        <f>HYPERLINK(SUBSTITUTE(T(hl_0),"{0}","900327181924127"),hn_0)</f>
        <v>ОВ</v>
      </c>
      <c r="B1529" s="7" t="s">
        <v>429</v>
      </c>
      <c r="C1529" s="8">
        <v>5200</v>
      </c>
      <c r="D1529" s="7" t="s">
        <v>11</v>
      </c>
      <c r="E1529" s="7" t="s">
        <v>20</v>
      </c>
    </row>
    <row r="1530" spans="1:5" ht="12.75">
      <c r="A1530" s="6" t="str">
        <f>HYPERLINK(SUBSTITUTE(T(hl_0),"{0}","900330467101378"),hn_0)</f>
        <v>ОВ</v>
      </c>
      <c r="B1530" s="7" t="s">
        <v>429</v>
      </c>
      <c r="C1530" s="8">
        <v>6000</v>
      </c>
      <c r="D1530" s="7" t="s">
        <v>430</v>
      </c>
      <c r="E1530" s="7" t="s">
        <v>20</v>
      </c>
    </row>
    <row r="1531" spans="1:5" ht="12.75">
      <c r="A1531" s="6" t="str">
        <f>HYPERLINK(SUBSTITUTE(T(hl_0),"{0}","900330467101378"),hn_0)</f>
        <v>ОВ</v>
      </c>
      <c r="B1531" s="7" t="s">
        <v>429</v>
      </c>
      <c r="C1531" s="8">
        <v>6000</v>
      </c>
      <c r="D1531" s="7" t="s">
        <v>430</v>
      </c>
      <c r="E1531" s="7" t="s">
        <v>20</v>
      </c>
    </row>
    <row r="1532" spans="1:5" ht="12.75">
      <c r="A1532" s="6" t="str">
        <f>HYPERLINK(SUBSTITUTE(T(hl_0),"{0}","900332678113536"),hn_0)</f>
        <v>ОВ</v>
      </c>
      <c r="B1532" s="7" t="s">
        <v>431</v>
      </c>
      <c r="C1532" s="8">
        <v>7000</v>
      </c>
      <c r="D1532" s="7" t="s">
        <v>11</v>
      </c>
      <c r="E1532" s="7" t="s">
        <v>20</v>
      </c>
    </row>
    <row r="1533" spans="1:5" ht="12.75">
      <c r="A1533" s="6" t="str">
        <f>HYPERLINK(SUBSTITUTE(T(hl_0),"{0}","329332077841169"),hn_0)</f>
        <v>ОВ</v>
      </c>
      <c r="B1533" s="7" t="s">
        <v>432</v>
      </c>
      <c r="C1533" s="8">
        <v>5500</v>
      </c>
      <c r="D1533" s="7" t="s">
        <v>433</v>
      </c>
      <c r="E1533" s="7" t="s">
        <v>43</v>
      </c>
    </row>
    <row r="1534" spans="1:5" ht="12.75">
      <c r="A1534" s="6" t="str">
        <f>HYPERLINK(SUBSTITUTE(T(hl_0),"{0}","900332195662670"),hn_0)</f>
        <v>ОВ</v>
      </c>
      <c r="B1534" s="7" t="s">
        <v>434</v>
      </c>
      <c r="C1534" s="8">
        <v>7500</v>
      </c>
      <c r="D1534" s="7" t="s">
        <v>11</v>
      </c>
      <c r="E1534" s="7" t="s">
        <v>20</v>
      </c>
    </row>
    <row r="1535" spans="1:5" ht="12.75">
      <c r="A1535" s="6" t="str">
        <f>HYPERLINK(SUBSTITUTE(T(hl_0),"{0}","900332417955491"),hn_0)</f>
        <v>ОВ</v>
      </c>
      <c r="B1535" s="7" t="s">
        <v>435</v>
      </c>
      <c r="C1535" s="8">
        <v>11000</v>
      </c>
      <c r="D1535" s="7" t="s">
        <v>11</v>
      </c>
      <c r="E1535" s="7" t="s">
        <v>20</v>
      </c>
    </row>
    <row r="1536" spans="1:5" ht="12.75">
      <c r="A1536" s="6" t="str">
        <f>HYPERLINK(SUBSTITUTE(T(hl_0),"{0}","319327465941812"),hn_0)</f>
        <v>ОВ</v>
      </c>
      <c r="B1536" s="7" t="s">
        <v>436</v>
      </c>
      <c r="C1536" s="8">
        <v>12000</v>
      </c>
      <c r="D1536" s="7" t="s">
        <v>14</v>
      </c>
      <c r="E1536" s="7" t="s">
        <v>15</v>
      </c>
    </row>
    <row r="1537" spans="1:5" ht="12.75">
      <c r="A1537" s="6" t="str">
        <f>HYPERLINK(SUBSTITUTE(T(hl_0),"{0}","332329115882101"),hn_0)</f>
        <v>ОВ</v>
      </c>
      <c r="B1537" s="7" t="s">
        <v>436</v>
      </c>
      <c r="C1537" s="8">
        <v>8000</v>
      </c>
      <c r="D1537" s="7" t="s">
        <v>30</v>
      </c>
      <c r="E1537" s="7" t="s">
        <v>31</v>
      </c>
    </row>
    <row r="1538" spans="1:5" ht="12.75">
      <c r="A1538" s="6" t="str">
        <f>HYPERLINK(SUBSTITUTE(T(hl_0),"{0}","319332759682503"),hn_0)</f>
        <v>ОВ</v>
      </c>
      <c r="B1538" s="7" t="s">
        <v>437</v>
      </c>
      <c r="C1538" s="8">
        <v>14000</v>
      </c>
      <c r="D1538" s="7" t="s">
        <v>14</v>
      </c>
      <c r="E1538" s="7" t="s">
        <v>15</v>
      </c>
    </row>
    <row r="1539" spans="1:5" ht="12.75">
      <c r="A1539" s="6" t="str">
        <f>HYPERLINK(SUBSTITUTE(T(hl_0),"{0}","330332340820309"),hn_0)</f>
        <v>ОВ</v>
      </c>
      <c r="B1539" s="7" t="s">
        <v>438</v>
      </c>
      <c r="C1539" s="8">
        <v>6500</v>
      </c>
      <c r="D1539" s="7" t="s">
        <v>28</v>
      </c>
      <c r="E1539" s="7" t="s">
        <v>29</v>
      </c>
    </row>
    <row r="1540" spans="1:5" ht="12.75">
      <c r="A1540" s="6" t="str">
        <f>HYPERLINK(SUBSTITUTE(T(hl_0),"{0}","321332557860673"),hn_0)</f>
        <v>ОВ</v>
      </c>
      <c r="B1540" s="7" t="s">
        <v>439</v>
      </c>
      <c r="C1540" s="8">
        <v>6000</v>
      </c>
      <c r="D1540" s="7" t="s">
        <v>427</v>
      </c>
      <c r="E1540" s="7" t="s">
        <v>19</v>
      </c>
    </row>
    <row r="1541" spans="1:5" ht="12.75">
      <c r="A1541" s="6" t="str">
        <f>HYPERLINK(SUBSTITUTE(T(hl_0),"{0}","329320428000582"),hn_0)</f>
        <v>ОВ</v>
      </c>
      <c r="B1541" s="7" t="s">
        <v>439</v>
      </c>
      <c r="C1541" s="8">
        <v>8000</v>
      </c>
      <c r="D1541" s="7" t="s">
        <v>440</v>
      </c>
      <c r="E1541" s="7" t="s">
        <v>43</v>
      </c>
    </row>
    <row r="1542" spans="1:5" ht="12.75">
      <c r="A1542" s="6" t="str">
        <f>HYPERLINK(SUBSTITUTE(T(hl_0),"{0}","900331816916640"),hn_0)</f>
        <v>ОВ</v>
      </c>
      <c r="B1542" s="7" t="s">
        <v>441</v>
      </c>
      <c r="C1542" s="8">
        <v>7000</v>
      </c>
      <c r="D1542" s="7" t="s">
        <v>11</v>
      </c>
      <c r="E1542" s="7" t="s">
        <v>20</v>
      </c>
    </row>
    <row r="1543" spans="1:5" ht="12.75">
      <c r="A1543" s="6" t="str">
        <f>HYPERLINK(SUBSTITUTE(T(hl_0),"{0}","326328323911398"),hn_0)</f>
        <v>ОВ</v>
      </c>
      <c r="B1543" s="7" t="s">
        <v>442</v>
      </c>
      <c r="C1543" s="8">
        <v>5500</v>
      </c>
      <c r="D1543" s="7" t="s">
        <v>206</v>
      </c>
      <c r="E1543" s="7" t="s">
        <v>40</v>
      </c>
    </row>
    <row r="1544" spans="1:5" ht="12.75">
      <c r="A1544" s="6" t="str">
        <f>HYPERLINK(SUBSTITUTE(T(hl_0),"{0}","332332557579400"),hn_0)</f>
        <v>ОВ</v>
      </c>
      <c r="B1544" s="7" t="s">
        <v>443</v>
      </c>
      <c r="C1544" s="8">
        <v>5600</v>
      </c>
      <c r="D1544" s="7" t="s">
        <v>11</v>
      </c>
      <c r="E1544" s="7" t="s">
        <v>31</v>
      </c>
    </row>
    <row r="1545" spans="1:5" ht="12.75">
      <c r="A1545" s="6" t="str">
        <f>HYPERLINK(SUBSTITUTE(T(hl_0),"{0}","332332647939474"),hn_0)</f>
        <v>ОВ</v>
      </c>
      <c r="B1545" s="7" t="s">
        <v>444</v>
      </c>
      <c r="C1545" s="8">
        <v>2500</v>
      </c>
      <c r="D1545" s="7" t="s">
        <v>30</v>
      </c>
      <c r="E1545" s="7" t="s">
        <v>31</v>
      </c>
    </row>
    <row r="1546" spans="1:5" ht="12.75">
      <c r="A1546" s="6" t="str">
        <f>HYPERLINK(SUBSTITUTE(T(hl_0),"{0}","900332392446524"),hn_0)</f>
        <v>ОВ</v>
      </c>
      <c r="B1546" s="7" t="s">
        <v>445</v>
      </c>
      <c r="C1546" s="8">
        <v>5000</v>
      </c>
      <c r="D1546" s="7" t="s">
        <v>11</v>
      </c>
      <c r="E1546" s="7" t="s">
        <v>20</v>
      </c>
    </row>
    <row r="1547" spans="1:5" ht="12.75">
      <c r="A1547" s="6" t="str">
        <f>HYPERLINK(SUBSTITUTE(T(hl_0),"{0}","900324876537927"),hn_0)</f>
        <v>ОВ</v>
      </c>
      <c r="B1547" s="7" t="s">
        <v>445</v>
      </c>
      <c r="C1547" s="8">
        <v>5500</v>
      </c>
      <c r="D1547" s="7" t="s">
        <v>11</v>
      </c>
      <c r="E1547" s="7" t="s">
        <v>20</v>
      </c>
    </row>
    <row r="1548" spans="1:5" ht="12.75">
      <c r="A1548" s="6" t="str">
        <f>HYPERLINK(SUBSTITUTE(T(hl_0),"{0}","900325181389104"),hn_0)</f>
        <v>ОВ</v>
      </c>
      <c r="B1548" s="7" t="s">
        <v>445</v>
      </c>
      <c r="C1548" s="8">
        <v>5500</v>
      </c>
      <c r="D1548" s="7" t="s">
        <v>11</v>
      </c>
      <c r="E1548" s="7" t="s">
        <v>20</v>
      </c>
    </row>
    <row r="1549" spans="1:5" ht="12.75">
      <c r="A1549" s="6" t="str">
        <f>HYPERLINK(SUBSTITUTE(T(hl_0),"{0}","900327206681723"),hn_0)</f>
        <v>ОВ</v>
      </c>
      <c r="B1549" s="7" t="s">
        <v>445</v>
      </c>
      <c r="C1549" s="8">
        <v>6000</v>
      </c>
      <c r="D1549" s="7" t="s">
        <v>11</v>
      </c>
      <c r="E1549" s="7" t="s">
        <v>20</v>
      </c>
    </row>
    <row r="1550" spans="1:5" ht="12.75">
      <c r="A1550" s="6" t="str">
        <f>HYPERLINK(SUBSTITUTE(T(hl_0),"{0}","900327206707886"),hn_0)</f>
        <v>ОВ</v>
      </c>
      <c r="B1550" s="7" t="s">
        <v>445</v>
      </c>
      <c r="C1550" s="8">
        <v>6000</v>
      </c>
      <c r="D1550" s="7" t="s">
        <v>217</v>
      </c>
      <c r="E1550" s="7" t="s">
        <v>20</v>
      </c>
    </row>
    <row r="1551" spans="1:5" ht="12.75">
      <c r="A1551" s="6" t="str">
        <f>HYPERLINK(SUBSTITUTE(T(hl_0),"{0}","900327206628118"),hn_0)</f>
        <v>ОВ</v>
      </c>
      <c r="B1551" s="7" t="s">
        <v>445</v>
      </c>
      <c r="C1551" s="8">
        <v>6000</v>
      </c>
      <c r="D1551" s="7" t="s">
        <v>217</v>
      </c>
      <c r="E1551" s="7" t="s">
        <v>20</v>
      </c>
    </row>
    <row r="1552" spans="1:5" ht="12.75">
      <c r="A1552" s="6" t="str">
        <f>HYPERLINK(SUBSTITUTE(T(hl_0),"{0}","900327206664080"),hn_0)</f>
        <v>ОВ</v>
      </c>
      <c r="B1552" s="7" t="s">
        <v>445</v>
      </c>
      <c r="C1552" s="8">
        <v>6000</v>
      </c>
      <c r="D1552" s="7" t="s">
        <v>11</v>
      </c>
      <c r="E1552" s="7" t="s">
        <v>20</v>
      </c>
    </row>
    <row r="1553" spans="1:5" ht="12.75">
      <c r="A1553" s="6" t="str">
        <f>HYPERLINK(SUBSTITUTE(T(hl_0),"{0}","900332393449644"),hn_0)</f>
        <v>ОВ</v>
      </c>
      <c r="B1553" s="7" t="s">
        <v>446</v>
      </c>
      <c r="C1553" s="8">
        <v>8000</v>
      </c>
      <c r="D1553" s="7" t="s">
        <v>11</v>
      </c>
      <c r="E1553" s="7" t="s">
        <v>20</v>
      </c>
    </row>
    <row r="1554" spans="1:5" ht="12.75">
      <c r="A1554" s="6" t="str">
        <f>HYPERLINK(SUBSTITUTE(T(hl_0),"{0}","900332393455288"),hn_0)</f>
        <v>ОВ</v>
      </c>
      <c r="B1554" s="7" t="s">
        <v>446</v>
      </c>
      <c r="C1554" s="8">
        <v>8000</v>
      </c>
      <c r="D1554" s="7" t="s">
        <v>11</v>
      </c>
      <c r="E1554" s="7" t="s">
        <v>20</v>
      </c>
    </row>
    <row r="1555" spans="1:5" ht="12.75">
      <c r="A1555" s="6" t="str">
        <f>HYPERLINK(SUBSTITUTE(T(hl_0),"{0}","900332503792775"),hn_0)</f>
        <v>ОВ</v>
      </c>
      <c r="B1555" s="7" t="s">
        <v>447</v>
      </c>
      <c r="C1555" s="8">
        <v>5800</v>
      </c>
      <c r="D1555" s="7" t="s">
        <v>11</v>
      </c>
      <c r="E1555" s="7" t="s">
        <v>20</v>
      </c>
    </row>
    <row r="1556" spans="1:5" ht="12.75">
      <c r="A1556" s="6" t="str">
        <f>HYPERLINK(SUBSTITUTE(T(hl_0),"{0}","900332503771371"),hn_0)</f>
        <v>ОВ</v>
      </c>
      <c r="B1556" s="7" t="s">
        <v>447</v>
      </c>
      <c r="C1556" s="8">
        <v>5800</v>
      </c>
      <c r="D1556" s="7" t="s">
        <v>11</v>
      </c>
      <c r="E1556" s="7" t="s">
        <v>20</v>
      </c>
    </row>
    <row r="1557" spans="1:5" ht="12.75">
      <c r="A1557" s="6" t="str">
        <f>HYPERLINK(SUBSTITUTE(T(hl_0),"{0}","324331648299407"),hn_0)</f>
        <v>ОВ</v>
      </c>
      <c r="B1557" s="7" t="s">
        <v>448</v>
      </c>
      <c r="C1557" s="8">
        <v>5000</v>
      </c>
      <c r="D1557" s="7" t="s">
        <v>237</v>
      </c>
      <c r="E1557" s="7" t="s">
        <v>190</v>
      </c>
    </row>
    <row r="1558" spans="1:5" ht="12.75">
      <c r="A1558" s="6" t="str">
        <f>HYPERLINK(SUBSTITUTE(T(hl_0),"{0}","329332648199229"),hn_0)</f>
        <v>ОВ</v>
      </c>
      <c r="B1558" s="7" t="s">
        <v>449</v>
      </c>
      <c r="C1558" s="8">
        <v>6500</v>
      </c>
      <c r="D1558" s="7" t="s">
        <v>42</v>
      </c>
      <c r="E1558" s="7" t="s">
        <v>43</v>
      </c>
    </row>
    <row r="1559" spans="1:5" ht="12.75">
      <c r="A1559" s="6" t="str">
        <f>HYPERLINK(SUBSTITUTE(T(hl_0),"{0}","319332733993369"),hn_0)</f>
        <v>ОВ</v>
      </c>
      <c r="B1559" s="7" t="s">
        <v>450</v>
      </c>
      <c r="C1559" s="8">
        <v>5100</v>
      </c>
      <c r="D1559" s="7" t="s">
        <v>14</v>
      </c>
      <c r="E1559" s="7" t="s">
        <v>15</v>
      </c>
    </row>
    <row r="1560" spans="1:5" ht="12.75">
      <c r="A1560" s="6" t="str">
        <f>HYPERLINK(SUBSTITUTE(T(hl_0),"{0}","319332418446462"),hn_0)</f>
        <v>ОВ</v>
      </c>
      <c r="B1560" s="7" t="s">
        <v>450</v>
      </c>
      <c r="C1560" s="8">
        <v>7300</v>
      </c>
      <c r="D1560" s="7" t="s">
        <v>14</v>
      </c>
      <c r="E1560" s="7" t="s">
        <v>15</v>
      </c>
    </row>
    <row r="1561" spans="1:5" ht="12.75">
      <c r="A1561" s="6" t="str">
        <f>HYPERLINK(SUBSTITUTE(T(hl_0),"{0}","319332343901495"),hn_0)</f>
        <v>ОВ</v>
      </c>
      <c r="B1561" s="7" t="s">
        <v>450</v>
      </c>
      <c r="C1561" s="8">
        <v>6000</v>
      </c>
      <c r="D1561" s="7" t="s">
        <v>14</v>
      </c>
      <c r="E1561" s="7" t="s">
        <v>15</v>
      </c>
    </row>
    <row r="1562" spans="1:5" ht="12.75">
      <c r="A1562" s="6" t="str">
        <f>HYPERLINK(SUBSTITUTE(T(hl_0),"{0}","319332343914628"),hn_0)</f>
        <v>ОВ</v>
      </c>
      <c r="B1562" s="7" t="s">
        <v>450</v>
      </c>
      <c r="C1562" s="8">
        <v>6000</v>
      </c>
      <c r="D1562" s="7" t="s">
        <v>14</v>
      </c>
      <c r="E1562" s="7" t="s">
        <v>15</v>
      </c>
    </row>
    <row r="1563" spans="1:5" ht="12.75">
      <c r="A1563" s="6" t="str">
        <f>HYPERLINK(SUBSTITUTE(T(hl_0),"{0}","319332394113763"),hn_0)</f>
        <v>ОВ</v>
      </c>
      <c r="B1563" s="7" t="s">
        <v>450</v>
      </c>
      <c r="C1563" s="8">
        <v>10000</v>
      </c>
      <c r="D1563" s="7" t="s">
        <v>14</v>
      </c>
      <c r="E1563" s="7" t="s">
        <v>15</v>
      </c>
    </row>
    <row r="1564" spans="1:5" ht="12.75">
      <c r="A1564" s="6" t="str">
        <f>HYPERLINK(SUBSTITUTE(T(hl_0),"{0}","319332394090803"),hn_0)</f>
        <v>ОВ</v>
      </c>
      <c r="B1564" s="7" t="s">
        <v>450</v>
      </c>
      <c r="C1564" s="8">
        <v>10000</v>
      </c>
      <c r="D1564" s="7" t="s">
        <v>14</v>
      </c>
      <c r="E1564" s="7" t="s">
        <v>15</v>
      </c>
    </row>
    <row r="1565" spans="1:5" ht="25.5">
      <c r="A1565" s="6" t="str">
        <f>HYPERLINK(SUBSTITUTE(T(hl_0),"{0}","320332825340003"),hn_0)</f>
        <v>ОВ</v>
      </c>
      <c r="B1565" s="7" t="s">
        <v>450</v>
      </c>
      <c r="C1565" s="8">
        <v>5000</v>
      </c>
      <c r="D1565" s="7" t="s">
        <v>16</v>
      </c>
      <c r="E1565" s="7" t="s">
        <v>17</v>
      </c>
    </row>
    <row r="1566" spans="1:5" ht="25.5">
      <c r="A1566" s="6" t="str">
        <f>HYPERLINK(SUBSTITUTE(T(hl_0),"{0}","320332706274297"),hn_0)</f>
        <v>ОВ</v>
      </c>
      <c r="B1566" s="7" t="s">
        <v>450</v>
      </c>
      <c r="C1566" s="8">
        <v>7000</v>
      </c>
      <c r="D1566" s="7" t="s">
        <v>16</v>
      </c>
      <c r="E1566" s="7" t="s">
        <v>17</v>
      </c>
    </row>
    <row r="1567" spans="1:5" ht="25.5">
      <c r="A1567" s="6" t="str">
        <f>HYPERLINK(SUBSTITUTE(T(hl_0),"{0}","320332706274297"),hn_0)</f>
        <v>ОВ</v>
      </c>
      <c r="B1567" s="7" t="s">
        <v>450</v>
      </c>
      <c r="C1567" s="8">
        <v>7000</v>
      </c>
      <c r="D1567" s="7" t="s">
        <v>16</v>
      </c>
      <c r="E1567" s="7" t="s">
        <v>17</v>
      </c>
    </row>
    <row r="1568" spans="1:5" ht="25.5">
      <c r="A1568" s="6" t="str">
        <f>HYPERLINK(SUBSTITUTE(T(hl_0),"{0}","320332706256278"),hn_0)</f>
        <v>ОВ</v>
      </c>
      <c r="B1568" s="7" t="s">
        <v>450</v>
      </c>
      <c r="C1568" s="8">
        <v>7000</v>
      </c>
      <c r="D1568" s="7" t="s">
        <v>16</v>
      </c>
      <c r="E1568" s="7" t="s">
        <v>17</v>
      </c>
    </row>
    <row r="1569" spans="1:5" ht="25.5">
      <c r="A1569" s="6" t="str">
        <f>HYPERLINK(SUBSTITUTE(T(hl_0),"{0}","320332706256278"),hn_0)</f>
        <v>ОВ</v>
      </c>
      <c r="B1569" s="7" t="s">
        <v>450</v>
      </c>
      <c r="C1569" s="8">
        <v>7000</v>
      </c>
      <c r="D1569" s="7" t="s">
        <v>16</v>
      </c>
      <c r="E1569" s="7" t="s">
        <v>17</v>
      </c>
    </row>
    <row r="1570" spans="1:5" ht="25.5">
      <c r="A1570" s="6" t="str">
        <f>HYPERLINK(SUBSTITUTE(T(hl_0),"{0}","320327204934168"),hn_0)</f>
        <v>ОВ</v>
      </c>
      <c r="B1570" s="7" t="s">
        <v>450</v>
      </c>
      <c r="C1570" s="8">
        <v>5500</v>
      </c>
      <c r="D1570" s="7" t="s">
        <v>16</v>
      </c>
      <c r="E1570" s="7" t="s">
        <v>17</v>
      </c>
    </row>
    <row r="1571" spans="1:5" ht="12.75">
      <c r="A1571" s="6" t="str">
        <f>HYPERLINK(SUBSTITUTE(T(hl_0),"{0}","321328249827904"),hn_0)</f>
        <v>ОВ</v>
      </c>
      <c r="B1571" s="7" t="s">
        <v>450</v>
      </c>
      <c r="C1571" s="8">
        <v>20000</v>
      </c>
      <c r="D1571" s="7" t="s">
        <v>18</v>
      </c>
      <c r="E1571" s="7" t="s">
        <v>19</v>
      </c>
    </row>
    <row r="1572" spans="1:5" ht="12.75">
      <c r="A1572" s="6" t="str">
        <f>HYPERLINK(SUBSTITUTE(T(hl_0),"{0}","321332000634954"),hn_0)</f>
        <v>ОВ</v>
      </c>
      <c r="B1572" s="7" t="s">
        <v>450</v>
      </c>
      <c r="C1572" s="8">
        <v>5000</v>
      </c>
      <c r="D1572" s="7" t="s">
        <v>18</v>
      </c>
      <c r="E1572" s="7" t="s">
        <v>19</v>
      </c>
    </row>
    <row r="1573" spans="1:5" ht="12.75">
      <c r="A1573" s="6" t="str">
        <f>HYPERLINK(SUBSTITUTE(T(hl_0),"{0}","321332345009244"),hn_0)</f>
        <v>ОВ</v>
      </c>
      <c r="B1573" s="7" t="s">
        <v>450</v>
      </c>
      <c r="C1573" s="8">
        <v>10000</v>
      </c>
      <c r="D1573" s="7" t="s">
        <v>18</v>
      </c>
      <c r="E1573" s="7" t="s">
        <v>19</v>
      </c>
    </row>
    <row r="1574" spans="1:5" ht="12.75">
      <c r="A1574" s="6" t="str">
        <f>HYPERLINK(SUBSTITUTE(T(hl_0),"{0}","321332369040391"),hn_0)</f>
        <v>ОВ</v>
      </c>
      <c r="B1574" s="7" t="s">
        <v>450</v>
      </c>
      <c r="C1574" s="8">
        <v>8000</v>
      </c>
      <c r="D1574" s="7" t="s">
        <v>18</v>
      </c>
      <c r="E1574" s="7" t="s">
        <v>19</v>
      </c>
    </row>
    <row r="1575" spans="1:5" ht="12.75">
      <c r="A1575" s="6" t="str">
        <f>HYPERLINK(SUBSTITUTE(T(hl_0),"{0}","321327206363480"),hn_0)</f>
        <v>ОВ</v>
      </c>
      <c r="B1575" s="7" t="s">
        <v>450</v>
      </c>
      <c r="C1575" s="8">
        <v>15000</v>
      </c>
      <c r="D1575" s="7" t="s">
        <v>18</v>
      </c>
      <c r="E1575" s="7" t="s">
        <v>19</v>
      </c>
    </row>
    <row r="1576" spans="1:5" ht="12.75">
      <c r="A1576" s="6" t="str">
        <f>HYPERLINK(SUBSTITUTE(T(hl_0),"{0}","321331196235005"),hn_0)</f>
        <v>ОВ</v>
      </c>
      <c r="B1576" s="7" t="s">
        <v>450</v>
      </c>
      <c r="C1576" s="8">
        <v>6500</v>
      </c>
      <c r="D1576" s="7" t="s">
        <v>18</v>
      </c>
      <c r="E1576" s="7" t="s">
        <v>19</v>
      </c>
    </row>
    <row r="1577" spans="1:5" ht="12.75">
      <c r="A1577" s="6" t="str">
        <f>HYPERLINK(SUBSTITUTE(T(hl_0),"{0}","321331196235011"),hn_0)</f>
        <v>ОВ</v>
      </c>
      <c r="B1577" s="7" t="s">
        <v>450</v>
      </c>
      <c r="C1577" s="8">
        <v>6500</v>
      </c>
      <c r="D1577" s="7" t="s">
        <v>18</v>
      </c>
      <c r="E1577" s="7" t="s">
        <v>19</v>
      </c>
    </row>
    <row r="1578" spans="1:5" ht="12.75">
      <c r="A1578" s="6" t="str">
        <f>HYPERLINK(SUBSTITUTE(T(hl_0),"{0}","321331196235106"),hn_0)</f>
        <v>ОВ</v>
      </c>
      <c r="B1578" s="7" t="s">
        <v>450</v>
      </c>
      <c r="C1578" s="8">
        <v>6500</v>
      </c>
      <c r="D1578" s="7" t="s">
        <v>18</v>
      </c>
      <c r="E1578" s="7" t="s">
        <v>19</v>
      </c>
    </row>
    <row r="1579" spans="1:5" ht="12.75">
      <c r="A1579" s="6" t="str">
        <f>HYPERLINK(SUBSTITUTE(T(hl_0),"{0}","321329090032682"),hn_0)</f>
        <v>ОВ</v>
      </c>
      <c r="B1579" s="7" t="s">
        <v>450</v>
      </c>
      <c r="C1579" s="8">
        <v>25000</v>
      </c>
      <c r="D1579" s="7" t="s">
        <v>18</v>
      </c>
      <c r="E1579" s="7" t="s">
        <v>19</v>
      </c>
    </row>
    <row r="1580" spans="1:5" ht="12.75">
      <c r="A1580" s="6" t="str">
        <f>HYPERLINK(SUBSTITUTE(T(hl_0),"{0}","322332702914902"),hn_0)</f>
        <v>ОВ</v>
      </c>
      <c r="B1580" s="7" t="s">
        <v>450</v>
      </c>
      <c r="C1580" s="8">
        <v>7000</v>
      </c>
      <c r="D1580" s="7" t="s">
        <v>36</v>
      </c>
      <c r="E1580" s="7" t="s">
        <v>47</v>
      </c>
    </row>
    <row r="1581" spans="1:5" ht="12.75">
      <c r="A1581" s="6" t="str">
        <f>HYPERLINK(SUBSTITUTE(T(hl_0),"{0}","322331534106043"),hn_0)</f>
        <v>ОВ</v>
      </c>
      <c r="B1581" s="7" t="s">
        <v>450</v>
      </c>
      <c r="C1581" s="8">
        <v>8000</v>
      </c>
      <c r="D1581" s="7" t="s">
        <v>36</v>
      </c>
      <c r="E1581" s="7" t="s">
        <v>47</v>
      </c>
    </row>
    <row r="1582" spans="1:5" ht="12.75">
      <c r="A1582" s="6" t="str">
        <f>HYPERLINK(SUBSTITUTE(T(hl_0),"{0}","322332557198673"),hn_0)</f>
        <v>ОВ</v>
      </c>
      <c r="B1582" s="7" t="s">
        <v>450</v>
      </c>
      <c r="C1582" s="8">
        <v>7030</v>
      </c>
      <c r="D1582" s="7" t="s">
        <v>451</v>
      </c>
      <c r="E1582" s="7" t="s">
        <v>47</v>
      </c>
    </row>
    <row r="1583" spans="1:5" ht="12.75">
      <c r="A1583" s="6" t="str">
        <f>HYPERLINK(SUBSTITUTE(T(hl_0),"{0}","323332504344766"),hn_0)</f>
        <v>ОВ</v>
      </c>
      <c r="B1583" s="7" t="s">
        <v>450</v>
      </c>
      <c r="C1583" s="8">
        <v>6000</v>
      </c>
      <c r="D1583" s="7" t="s">
        <v>223</v>
      </c>
      <c r="E1583" s="7" t="s">
        <v>224</v>
      </c>
    </row>
    <row r="1584" spans="1:5" ht="12.75">
      <c r="A1584" s="6" t="str">
        <f>HYPERLINK(SUBSTITUTE(T(hl_0),"{0}","324331625116679"),hn_0)</f>
        <v>ОВ</v>
      </c>
      <c r="B1584" s="7" t="s">
        <v>450</v>
      </c>
      <c r="C1584" s="8">
        <v>5200</v>
      </c>
      <c r="D1584" s="7" t="s">
        <v>237</v>
      </c>
      <c r="E1584" s="7" t="s">
        <v>190</v>
      </c>
    </row>
    <row r="1585" spans="1:5" ht="12.75">
      <c r="A1585" s="6" t="str">
        <f>HYPERLINK(SUBSTITUTE(T(hl_0),"{0}","324332173059465"),hn_0)</f>
        <v>ОВ</v>
      </c>
      <c r="B1585" s="7" t="s">
        <v>450</v>
      </c>
      <c r="C1585" s="8">
        <v>5000</v>
      </c>
      <c r="D1585" s="7" t="s">
        <v>237</v>
      </c>
      <c r="E1585" s="7" t="s">
        <v>190</v>
      </c>
    </row>
    <row r="1586" spans="1:5" ht="12.75">
      <c r="A1586" s="6" t="str">
        <f>HYPERLINK(SUBSTITUTE(T(hl_0),"{0}","325332198332064"),hn_0)</f>
        <v>ОВ</v>
      </c>
      <c r="B1586" s="7" t="s">
        <v>450</v>
      </c>
      <c r="C1586" s="8">
        <v>10200</v>
      </c>
      <c r="D1586" s="7" t="s">
        <v>34</v>
      </c>
      <c r="E1586" s="7" t="s">
        <v>27</v>
      </c>
    </row>
    <row r="1587" spans="1:5" ht="12.75">
      <c r="A1587" s="6" t="str">
        <f>HYPERLINK(SUBSTITUTE(T(hl_0),"{0}","327332197004240"),hn_0)</f>
        <v>ОВ</v>
      </c>
      <c r="B1587" s="7" t="s">
        <v>450</v>
      </c>
      <c r="C1587" s="8">
        <v>5000</v>
      </c>
      <c r="D1587" s="7" t="s">
        <v>363</v>
      </c>
      <c r="E1587" s="7" t="s">
        <v>12</v>
      </c>
    </row>
    <row r="1588" spans="1:5" ht="12.75">
      <c r="A1588" s="6" t="str">
        <f>HYPERLINK(SUBSTITUTE(T(hl_0),"{0}","327332197004578"),hn_0)</f>
        <v>ОВ</v>
      </c>
      <c r="B1588" s="7" t="s">
        <v>450</v>
      </c>
      <c r="C1588" s="8">
        <v>5000</v>
      </c>
      <c r="D1588" s="7" t="s">
        <v>363</v>
      </c>
      <c r="E1588" s="7" t="s">
        <v>12</v>
      </c>
    </row>
    <row r="1589" spans="1:5" ht="12.75">
      <c r="A1589" s="6" t="str">
        <f>HYPERLINK(SUBSTITUTE(T(hl_0),"{0}","327332392294127"),hn_0)</f>
        <v>ОВ</v>
      </c>
      <c r="B1589" s="7" t="s">
        <v>450</v>
      </c>
      <c r="C1589" s="8">
        <v>7000</v>
      </c>
      <c r="D1589" s="7" t="s">
        <v>217</v>
      </c>
      <c r="E1589" s="7" t="s">
        <v>12</v>
      </c>
    </row>
    <row r="1590" spans="1:5" ht="12.75">
      <c r="A1590" s="6" t="str">
        <f>HYPERLINK(SUBSTITUTE(T(hl_0),"{0}","328332825513618"),hn_0)</f>
        <v>ОВ</v>
      </c>
      <c r="B1590" s="7" t="s">
        <v>450</v>
      </c>
      <c r="C1590" s="8">
        <v>6000</v>
      </c>
      <c r="D1590" s="7" t="s">
        <v>57</v>
      </c>
      <c r="E1590" s="7" t="s">
        <v>58</v>
      </c>
    </row>
    <row r="1591" spans="1:5" ht="12.75">
      <c r="A1591" s="6" t="str">
        <f>HYPERLINK(SUBSTITUTE(T(hl_0),"{0}","329332145934948"),hn_0)</f>
        <v>ОВ</v>
      </c>
      <c r="B1591" s="7" t="s">
        <v>450</v>
      </c>
      <c r="C1591" s="8">
        <v>20000</v>
      </c>
      <c r="D1591" s="7" t="s">
        <v>42</v>
      </c>
      <c r="E1591" s="7" t="s">
        <v>43</v>
      </c>
    </row>
    <row r="1592" spans="1:5" ht="12.75">
      <c r="A1592" s="6" t="str">
        <f>HYPERLINK(SUBSTITUTE(T(hl_0),"{0}","330331508175966"),hn_0)</f>
        <v>ОВ</v>
      </c>
      <c r="B1592" s="7" t="s">
        <v>450</v>
      </c>
      <c r="C1592" s="8">
        <v>7000</v>
      </c>
      <c r="D1592" s="7" t="s">
        <v>252</v>
      </c>
      <c r="E1592" s="7" t="s">
        <v>29</v>
      </c>
    </row>
    <row r="1593" spans="1:5" ht="12.75">
      <c r="A1593" s="6" t="str">
        <f>HYPERLINK(SUBSTITUTE(T(hl_0),"{0}","330331675955568"),hn_0)</f>
        <v>ОВ</v>
      </c>
      <c r="B1593" s="7" t="s">
        <v>450</v>
      </c>
      <c r="C1593" s="8">
        <v>8000</v>
      </c>
      <c r="D1593" s="7" t="s">
        <v>44</v>
      </c>
      <c r="E1593" s="7" t="s">
        <v>29</v>
      </c>
    </row>
    <row r="1594" spans="1:5" ht="12.75">
      <c r="A1594" s="6" t="str">
        <f>HYPERLINK(SUBSTITUTE(T(hl_0),"{0}","331332222079286"),hn_0)</f>
        <v>ОВ</v>
      </c>
      <c r="B1594" s="7" t="s">
        <v>450</v>
      </c>
      <c r="C1594" s="8">
        <v>10000</v>
      </c>
      <c r="D1594" s="7" t="s">
        <v>37</v>
      </c>
      <c r="E1594" s="7" t="s">
        <v>195</v>
      </c>
    </row>
    <row r="1595" spans="1:5" ht="12.75">
      <c r="A1595" s="6" t="str">
        <f>HYPERLINK(SUBSTITUTE(T(hl_0),"{0}","331332222079286"),hn_0)</f>
        <v>ОВ</v>
      </c>
      <c r="B1595" s="7" t="s">
        <v>450</v>
      </c>
      <c r="C1595" s="8">
        <v>10000</v>
      </c>
      <c r="D1595" s="7" t="s">
        <v>37</v>
      </c>
      <c r="E1595" s="7" t="s">
        <v>195</v>
      </c>
    </row>
    <row r="1596" spans="1:5" ht="12.75">
      <c r="A1596" s="6" t="str">
        <f>HYPERLINK(SUBSTITUTE(T(hl_0),"{0}","331332530891850"),hn_0)</f>
        <v>ОВ</v>
      </c>
      <c r="B1596" s="7" t="s">
        <v>450</v>
      </c>
      <c r="C1596" s="8">
        <v>6000</v>
      </c>
      <c r="D1596" s="7" t="s">
        <v>37</v>
      </c>
      <c r="E1596" s="7" t="s">
        <v>195</v>
      </c>
    </row>
    <row r="1597" spans="1:5" ht="12.75">
      <c r="A1597" s="6" t="str">
        <f>HYPERLINK(SUBSTITUTE(T(hl_0),"{0}","331331220725686"),hn_0)</f>
        <v>ОВ</v>
      </c>
      <c r="B1597" s="7" t="s">
        <v>450</v>
      </c>
      <c r="C1597" s="8">
        <v>10000</v>
      </c>
      <c r="D1597" s="7" t="s">
        <v>37</v>
      </c>
      <c r="E1597" s="7" t="s">
        <v>195</v>
      </c>
    </row>
    <row r="1598" spans="1:5" ht="12.75">
      <c r="A1598" s="6" t="str">
        <f>HYPERLINK(SUBSTITUTE(T(hl_0),"{0}","331331220579524"),hn_0)</f>
        <v>ОВ</v>
      </c>
      <c r="B1598" s="7" t="s">
        <v>450</v>
      </c>
      <c r="C1598" s="8">
        <v>10000</v>
      </c>
      <c r="D1598" s="7" t="s">
        <v>37</v>
      </c>
      <c r="E1598" s="7" t="s">
        <v>195</v>
      </c>
    </row>
    <row r="1599" spans="1:5" ht="12.75">
      <c r="A1599" s="6" t="str">
        <f>HYPERLINK(SUBSTITUTE(T(hl_0),"{0}","331328965531096"),hn_0)</f>
        <v>ОВ</v>
      </c>
      <c r="B1599" s="7" t="s">
        <v>450</v>
      </c>
      <c r="C1599" s="8">
        <v>5500</v>
      </c>
      <c r="D1599" s="7" t="s">
        <v>37</v>
      </c>
      <c r="E1599" s="7" t="s">
        <v>195</v>
      </c>
    </row>
    <row r="1600" spans="1:5" ht="12.75">
      <c r="A1600" s="6" t="str">
        <f>HYPERLINK(SUBSTITUTE(T(hl_0),"{0}","332332556086603"),hn_0)</f>
        <v>ОВ</v>
      </c>
      <c r="B1600" s="7" t="s">
        <v>450</v>
      </c>
      <c r="C1600" s="8">
        <v>5000</v>
      </c>
      <c r="D1600" s="7" t="s">
        <v>30</v>
      </c>
      <c r="E1600" s="7" t="s">
        <v>31</v>
      </c>
    </row>
    <row r="1601" spans="1:5" ht="12.75">
      <c r="A1601" s="6" t="str">
        <f>HYPERLINK(SUBSTITUTE(T(hl_0),"{0}","333331845729303"),hn_0)</f>
        <v>ОВ</v>
      </c>
      <c r="B1601" s="7" t="s">
        <v>450</v>
      </c>
      <c r="C1601" s="8">
        <v>6500</v>
      </c>
      <c r="D1601" s="7" t="s">
        <v>452</v>
      </c>
      <c r="E1601" s="7" t="s">
        <v>198</v>
      </c>
    </row>
    <row r="1602" spans="1:5" ht="12.75">
      <c r="A1602" s="6" t="str">
        <f>HYPERLINK(SUBSTITUTE(T(hl_0),"{0}","334330113635407"),hn_0)</f>
        <v>ОВ</v>
      </c>
      <c r="B1602" s="7" t="s">
        <v>450</v>
      </c>
      <c r="C1602" s="8">
        <v>6000</v>
      </c>
      <c r="D1602" s="7" t="s">
        <v>453</v>
      </c>
      <c r="E1602" s="7" t="s">
        <v>209</v>
      </c>
    </row>
    <row r="1603" spans="1:5" ht="12.75">
      <c r="A1603" s="6" t="str">
        <f>HYPERLINK(SUBSTITUTE(T(hl_0),"{0}","334331313917429"),hn_0)</f>
        <v>ОВ</v>
      </c>
      <c r="B1603" s="7" t="s">
        <v>450</v>
      </c>
      <c r="C1603" s="8">
        <v>7000</v>
      </c>
      <c r="D1603" s="7" t="s">
        <v>208</v>
      </c>
      <c r="E1603" s="7" t="s">
        <v>209</v>
      </c>
    </row>
    <row r="1604" spans="1:5" ht="12.75">
      <c r="A1604" s="6" t="str">
        <f>HYPERLINK(SUBSTITUTE(T(hl_0),"{0}","334331313921986"),hn_0)</f>
        <v>ОВ</v>
      </c>
      <c r="B1604" s="7" t="s">
        <v>450</v>
      </c>
      <c r="C1604" s="8">
        <v>7000</v>
      </c>
      <c r="D1604" s="7" t="s">
        <v>208</v>
      </c>
      <c r="E1604" s="7" t="s">
        <v>209</v>
      </c>
    </row>
    <row r="1605" spans="1:5" ht="12.75">
      <c r="A1605" s="6" t="str">
        <f>HYPERLINK(SUBSTITUTE(T(hl_0),"{0}","334330113676861"),hn_0)</f>
        <v>ОВ</v>
      </c>
      <c r="B1605" s="7" t="s">
        <v>450</v>
      </c>
      <c r="C1605" s="8">
        <v>6000</v>
      </c>
      <c r="D1605" s="7" t="s">
        <v>453</v>
      </c>
      <c r="E1605" s="7" t="s">
        <v>209</v>
      </c>
    </row>
    <row r="1606" spans="1:5" ht="12.75">
      <c r="A1606" s="6" t="str">
        <f>HYPERLINK(SUBSTITUTE(T(hl_0),"{0}","900332825359697"),hn_0)</f>
        <v>ОВ</v>
      </c>
      <c r="B1606" s="7" t="s">
        <v>450</v>
      </c>
      <c r="C1606" s="8">
        <v>5000</v>
      </c>
      <c r="D1606" s="7" t="s">
        <v>11</v>
      </c>
      <c r="E1606" s="7" t="s">
        <v>20</v>
      </c>
    </row>
    <row r="1607" spans="1:5" ht="12.75">
      <c r="A1607" s="6" t="str">
        <f>HYPERLINK(SUBSTITUTE(T(hl_0),"{0}","900332706019121"),hn_0)</f>
        <v>ОВ</v>
      </c>
      <c r="B1607" s="7" t="s">
        <v>450</v>
      </c>
      <c r="C1607" s="8">
        <v>30000</v>
      </c>
      <c r="D1607" s="7" t="s">
        <v>11</v>
      </c>
      <c r="E1607" s="7" t="s">
        <v>20</v>
      </c>
    </row>
    <row r="1608" spans="1:5" ht="12.75">
      <c r="A1608" s="6" t="str">
        <f>HYPERLINK(SUBSTITUTE(T(hl_0),"{0}","900332703574206"),hn_0)</f>
        <v>ОВ</v>
      </c>
      <c r="B1608" s="7" t="s">
        <v>450</v>
      </c>
      <c r="C1608" s="8">
        <v>10000</v>
      </c>
      <c r="D1608" s="7" t="s">
        <v>11</v>
      </c>
      <c r="E1608" s="7" t="s">
        <v>20</v>
      </c>
    </row>
    <row r="1609" spans="1:5" ht="12.75">
      <c r="A1609" s="6" t="str">
        <f>HYPERLINK(SUBSTITUTE(T(hl_0),"{0}","900332581908006"),hn_0)</f>
        <v>ОВ</v>
      </c>
      <c r="B1609" s="7" t="s">
        <v>450</v>
      </c>
      <c r="C1609" s="8">
        <v>15000</v>
      </c>
      <c r="D1609" s="7" t="s">
        <v>11</v>
      </c>
      <c r="E1609" s="7" t="s">
        <v>20</v>
      </c>
    </row>
    <row r="1610" spans="1:5" ht="12.75">
      <c r="A1610" s="6" t="str">
        <f>HYPERLINK(SUBSTITUTE(T(hl_0),"{0}","900332733848647"),hn_0)</f>
        <v>ОВ</v>
      </c>
      <c r="B1610" s="7" t="s">
        <v>450</v>
      </c>
      <c r="C1610" s="8">
        <v>8000</v>
      </c>
      <c r="D1610" s="7" t="s">
        <v>11</v>
      </c>
      <c r="E1610" s="7" t="s">
        <v>20</v>
      </c>
    </row>
    <row r="1611" spans="1:5" ht="12.75">
      <c r="A1611" s="6" t="str">
        <f>HYPERLINK(SUBSTITUTE(T(hl_0),"{0}","900332504292599"),hn_0)</f>
        <v>ОВ</v>
      </c>
      <c r="B1611" s="7" t="s">
        <v>450</v>
      </c>
      <c r="C1611" s="8">
        <v>9000</v>
      </c>
      <c r="D1611" s="7" t="s">
        <v>11</v>
      </c>
      <c r="E1611" s="7" t="s">
        <v>20</v>
      </c>
    </row>
    <row r="1612" spans="1:5" ht="12.75">
      <c r="A1612" s="6" t="str">
        <f>HYPERLINK(SUBSTITUTE(T(hl_0),"{0}","900332504292612"),hn_0)</f>
        <v>ОВ</v>
      </c>
      <c r="B1612" s="7" t="s">
        <v>450</v>
      </c>
      <c r="C1612" s="8">
        <v>9000</v>
      </c>
      <c r="D1612" s="7" t="s">
        <v>11</v>
      </c>
      <c r="E1612" s="7" t="s">
        <v>20</v>
      </c>
    </row>
    <row r="1613" spans="1:5" ht="12.75">
      <c r="A1613" s="6" t="str">
        <f>HYPERLINK(SUBSTITUTE(T(hl_0),"{0}","900331557932500"),hn_0)</f>
        <v>ОВ</v>
      </c>
      <c r="B1613" s="7" t="s">
        <v>450</v>
      </c>
      <c r="C1613" s="8">
        <v>30000</v>
      </c>
      <c r="D1613" s="7" t="s">
        <v>11</v>
      </c>
      <c r="E1613" s="7" t="s">
        <v>20</v>
      </c>
    </row>
    <row r="1614" spans="1:5" ht="12.75">
      <c r="A1614" s="6" t="str">
        <f>HYPERLINK(SUBSTITUTE(T(hl_0),"{0}","900331365771304"),hn_0)</f>
        <v>ОВ</v>
      </c>
      <c r="B1614" s="7" t="s">
        <v>450</v>
      </c>
      <c r="C1614" s="8">
        <v>5100</v>
      </c>
      <c r="D1614" s="7" t="s">
        <v>11</v>
      </c>
      <c r="E1614" s="7" t="s">
        <v>20</v>
      </c>
    </row>
    <row r="1615" spans="1:5" ht="12.75">
      <c r="A1615" s="6" t="str">
        <f>HYPERLINK(SUBSTITUTE(T(hl_0),"{0}","900332392460090"),hn_0)</f>
        <v>ОВ</v>
      </c>
      <c r="B1615" s="7" t="s">
        <v>450</v>
      </c>
      <c r="C1615" s="8">
        <v>9000</v>
      </c>
      <c r="D1615" s="7" t="s">
        <v>11</v>
      </c>
      <c r="E1615" s="7" t="s">
        <v>20</v>
      </c>
    </row>
    <row r="1616" spans="1:5" ht="12.75">
      <c r="A1616" s="6" t="str">
        <f>HYPERLINK(SUBSTITUTE(T(hl_0),"{0}","900332392502342"),hn_0)</f>
        <v>ОВ</v>
      </c>
      <c r="B1616" s="7" t="s">
        <v>450</v>
      </c>
      <c r="C1616" s="8">
        <v>9000</v>
      </c>
      <c r="D1616" s="7" t="s">
        <v>11</v>
      </c>
      <c r="E1616" s="7" t="s">
        <v>20</v>
      </c>
    </row>
    <row r="1617" spans="1:5" ht="12.75">
      <c r="A1617" s="6" t="str">
        <f>HYPERLINK(SUBSTITUTE(T(hl_0),"{0}","900332081679203"),hn_0)</f>
        <v>ОВ</v>
      </c>
      <c r="B1617" s="7" t="s">
        <v>450</v>
      </c>
      <c r="C1617" s="8">
        <v>5000</v>
      </c>
      <c r="D1617" s="7" t="s">
        <v>11</v>
      </c>
      <c r="E1617" s="7" t="s">
        <v>20</v>
      </c>
    </row>
    <row r="1618" spans="1:5" ht="12.75">
      <c r="A1618" s="6" t="str">
        <f>HYPERLINK(SUBSTITUTE(T(hl_0),"{0}","900332081679203"),hn_0)</f>
        <v>ОВ</v>
      </c>
      <c r="B1618" s="7" t="s">
        <v>450</v>
      </c>
      <c r="C1618" s="8">
        <v>5000</v>
      </c>
      <c r="D1618" s="7" t="s">
        <v>11</v>
      </c>
      <c r="E1618" s="7" t="s">
        <v>20</v>
      </c>
    </row>
    <row r="1619" spans="1:5" ht="12.75">
      <c r="A1619" s="6" t="str">
        <f>HYPERLINK(SUBSTITUTE(T(hl_0),"{0}","900332504292621"),hn_0)</f>
        <v>ОВ</v>
      </c>
      <c r="B1619" s="7" t="s">
        <v>450</v>
      </c>
      <c r="C1619" s="8">
        <v>9000</v>
      </c>
      <c r="D1619" s="7" t="s">
        <v>11</v>
      </c>
      <c r="E1619" s="7" t="s">
        <v>20</v>
      </c>
    </row>
    <row r="1620" spans="1:5" ht="12.75">
      <c r="A1620" s="6" t="str">
        <f>HYPERLINK(SUBSTITUTE(T(hl_0),"{0}","900332248195334"),hn_0)</f>
        <v>ОВ</v>
      </c>
      <c r="B1620" s="7" t="s">
        <v>450</v>
      </c>
      <c r="C1620" s="8">
        <v>6000</v>
      </c>
      <c r="D1620" s="7" t="s">
        <v>11</v>
      </c>
      <c r="E1620" s="7" t="s">
        <v>20</v>
      </c>
    </row>
    <row r="1621" spans="1:5" ht="12.75">
      <c r="A1621" s="6" t="str">
        <f>HYPERLINK(SUBSTITUTE(T(hl_0),"{0}","900332555860646"),hn_0)</f>
        <v>ОВ</v>
      </c>
      <c r="B1621" s="7" t="s">
        <v>450</v>
      </c>
      <c r="C1621" s="8">
        <v>5000</v>
      </c>
      <c r="D1621" s="7" t="s">
        <v>11</v>
      </c>
      <c r="E1621" s="7" t="s">
        <v>20</v>
      </c>
    </row>
    <row r="1622" spans="1:5" ht="12.75">
      <c r="A1622" s="6" t="str">
        <f>HYPERLINK(SUBSTITUTE(T(hl_0),"{0}","900332504292631"),hn_0)</f>
        <v>ОВ</v>
      </c>
      <c r="B1622" s="7" t="s">
        <v>450</v>
      </c>
      <c r="C1622" s="8">
        <v>9000</v>
      </c>
      <c r="D1622" s="7" t="s">
        <v>11</v>
      </c>
      <c r="E1622" s="7" t="s">
        <v>20</v>
      </c>
    </row>
    <row r="1623" spans="1:5" ht="12.75">
      <c r="A1623" s="6" t="str">
        <f>HYPERLINK(SUBSTITUTE(T(hl_0),"{0}","900332556093234"),hn_0)</f>
        <v>ОВ</v>
      </c>
      <c r="B1623" s="7" t="s">
        <v>450</v>
      </c>
      <c r="C1623" s="8">
        <v>5500</v>
      </c>
      <c r="D1623" s="7" t="s">
        <v>11</v>
      </c>
      <c r="E1623" s="7" t="s">
        <v>20</v>
      </c>
    </row>
    <row r="1624" spans="1:5" ht="12.75">
      <c r="A1624" s="6" t="str">
        <f>HYPERLINK(SUBSTITUTE(T(hl_0),"{0}","900326861135080"),hn_0)</f>
        <v>ОВ</v>
      </c>
      <c r="B1624" s="7" t="s">
        <v>450</v>
      </c>
      <c r="C1624" s="8">
        <v>7000</v>
      </c>
      <c r="D1624" s="7" t="s">
        <v>11</v>
      </c>
      <c r="E1624" s="7" t="s">
        <v>20</v>
      </c>
    </row>
    <row r="1625" spans="1:5" ht="12.75">
      <c r="A1625" s="6" t="str">
        <f>HYPERLINK(SUBSTITUTE(T(hl_0),"{0}","900327291169202"),hn_0)</f>
        <v>ОВ</v>
      </c>
      <c r="B1625" s="7" t="s">
        <v>450</v>
      </c>
      <c r="C1625" s="8">
        <v>10000</v>
      </c>
      <c r="D1625" s="7" t="s">
        <v>11</v>
      </c>
      <c r="E1625" s="7" t="s">
        <v>20</v>
      </c>
    </row>
    <row r="1626" spans="1:5" ht="12.75">
      <c r="A1626" s="6" t="str">
        <f>HYPERLINK(SUBSTITUTE(T(hl_0),"{0}","900327207010975"),hn_0)</f>
        <v>ОВ</v>
      </c>
      <c r="B1626" s="7" t="s">
        <v>450</v>
      </c>
      <c r="C1626" s="8">
        <v>5140</v>
      </c>
      <c r="D1626" s="7" t="s">
        <v>11</v>
      </c>
      <c r="E1626" s="7" t="s">
        <v>20</v>
      </c>
    </row>
    <row r="1627" spans="1:5" ht="12.75">
      <c r="A1627" s="6" t="str">
        <f>HYPERLINK(SUBSTITUTE(T(hl_0),"{0}","900327535987148"),hn_0)</f>
        <v>ОВ</v>
      </c>
      <c r="B1627" s="7" t="s">
        <v>450</v>
      </c>
      <c r="C1627" s="8">
        <v>6000</v>
      </c>
      <c r="D1627" s="7" t="s">
        <v>11</v>
      </c>
      <c r="E1627" s="7" t="s">
        <v>20</v>
      </c>
    </row>
    <row r="1628" spans="1:5" ht="25.5">
      <c r="A1628" s="6" t="str">
        <f>HYPERLINK(SUBSTITUTE(T(hl_0),"{0}","320331561232961"),hn_0)</f>
        <v>ОВ</v>
      </c>
      <c r="B1628" s="7" t="s">
        <v>454</v>
      </c>
      <c r="C1628" s="8">
        <v>9000</v>
      </c>
      <c r="D1628" s="7" t="s">
        <v>16</v>
      </c>
      <c r="E1628" s="7" t="s">
        <v>17</v>
      </c>
    </row>
    <row r="1629" spans="1:5" ht="12.75">
      <c r="A1629" s="6" t="str">
        <f>HYPERLINK(SUBSTITUTE(T(hl_0),"{0}","322331700173904"),hn_0)</f>
        <v>ОВ</v>
      </c>
      <c r="B1629" s="7" t="s">
        <v>454</v>
      </c>
      <c r="C1629" s="8">
        <v>10000</v>
      </c>
      <c r="D1629" s="7" t="s">
        <v>455</v>
      </c>
      <c r="E1629" s="7" t="s">
        <v>47</v>
      </c>
    </row>
    <row r="1630" spans="1:5" ht="12.75">
      <c r="A1630" s="6" t="str">
        <f>HYPERLINK(SUBSTITUTE(T(hl_0),"{0}","330326858746505"),hn_0)</f>
        <v>ОВ</v>
      </c>
      <c r="B1630" s="7" t="s">
        <v>454</v>
      </c>
      <c r="C1630" s="8">
        <v>2500</v>
      </c>
      <c r="D1630" s="7" t="s">
        <v>28</v>
      </c>
      <c r="E1630" s="7" t="s">
        <v>29</v>
      </c>
    </row>
    <row r="1631" spans="1:5" ht="12.75">
      <c r="A1631" s="6" t="str">
        <f>HYPERLINK(SUBSTITUTE(T(hl_0),"{0}","900330113756694"),hn_0)</f>
        <v>ОВ</v>
      </c>
      <c r="B1631" s="7" t="s">
        <v>454</v>
      </c>
      <c r="C1631" s="8">
        <v>5000</v>
      </c>
      <c r="D1631" s="7" t="s">
        <v>11</v>
      </c>
      <c r="E1631" s="7" t="s">
        <v>20</v>
      </c>
    </row>
    <row r="1632" spans="1:5" ht="12.75">
      <c r="A1632" s="6" t="str">
        <f>HYPERLINK(SUBSTITUTE(T(hl_0),"{0}","319331648303602"),hn_0)</f>
        <v>ОВ</v>
      </c>
      <c r="B1632" s="7" t="s">
        <v>456</v>
      </c>
      <c r="C1632" s="8">
        <v>6000</v>
      </c>
      <c r="D1632" s="7" t="s">
        <v>14</v>
      </c>
      <c r="E1632" s="7" t="s">
        <v>15</v>
      </c>
    </row>
    <row r="1633" spans="1:5" ht="12.75">
      <c r="A1633" s="6" t="str">
        <f>HYPERLINK(SUBSTITUTE(T(hl_0),"{0}","319331648340938"),hn_0)</f>
        <v>ОВ</v>
      </c>
      <c r="B1633" s="7" t="s">
        <v>456</v>
      </c>
      <c r="C1633" s="8">
        <v>6000</v>
      </c>
      <c r="D1633" s="7" t="s">
        <v>14</v>
      </c>
      <c r="E1633" s="7" t="s">
        <v>15</v>
      </c>
    </row>
    <row r="1634" spans="1:5" ht="12.75">
      <c r="A1634" s="6" t="str">
        <f>HYPERLINK(SUBSTITUTE(T(hl_0),"{0}","900324867994986"),hn_0)</f>
        <v>ОВ</v>
      </c>
      <c r="B1634" s="7" t="s">
        <v>457</v>
      </c>
      <c r="C1634" s="8">
        <v>5678</v>
      </c>
      <c r="D1634" s="7" t="s">
        <v>11</v>
      </c>
      <c r="E1634" s="7" t="s">
        <v>20</v>
      </c>
    </row>
    <row r="1635" spans="1:5" ht="12.75">
      <c r="A1635" s="6" t="str">
        <f>HYPERLINK(SUBSTITUTE(T(hl_0),"{0}","900324867994986"),hn_0)</f>
        <v>ОВ</v>
      </c>
      <c r="B1635" s="7" t="s">
        <v>457</v>
      </c>
      <c r="C1635" s="8">
        <v>5678</v>
      </c>
      <c r="D1635" s="7" t="s">
        <v>11</v>
      </c>
      <c r="E1635" s="7" t="s">
        <v>20</v>
      </c>
    </row>
    <row r="1636" spans="1:5" ht="25.5">
      <c r="A1636" s="6" t="str">
        <f>HYPERLINK(SUBSTITUTE(T(hl_0),"{0}","320332342158036"),hn_0)</f>
        <v>ОВ</v>
      </c>
      <c r="B1636" s="7" t="s">
        <v>458</v>
      </c>
      <c r="C1636" s="8">
        <v>10000</v>
      </c>
      <c r="D1636" s="7" t="s">
        <v>404</v>
      </c>
      <c r="E1636" s="7" t="s">
        <v>17</v>
      </c>
    </row>
    <row r="1637" spans="1:5" ht="12.75">
      <c r="A1637" s="6" t="str">
        <f>HYPERLINK(SUBSTITUTE(T(hl_0),"{0}","327332531781503"),hn_0)</f>
        <v>ОВ</v>
      </c>
      <c r="B1637" s="7" t="s">
        <v>458</v>
      </c>
      <c r="C1637" s="8">
        <v>10000</v>
      </c>
      <c r="D1637" s="7" t="s">
        <v>11</v>
      </c>
      <c r="E1637" s="7" t="s">
        <v>12</v>
      </c>
    </row>
    <row r="1638" spans="1:5" ht="12.75">
      <c r="A1638" s="6" t="str">
        <f>HYPERLINK(SUBSTITUTE(T(hl_0),"{0}","900331648499516"),hn_0)</f>
        <v>ОВ</v>
      </c>
      <c r="B1638" s="7" t="s">
        <v>459</v>
      </c>
      <c r="C1638" s="8">
        <v>8000</v>
      </c>
      <c r="D1638" s="7" t="s">
        <v>11</v>
      </c>
      <c r="E1638" s="7" t="s">
        <v>20</v>
      </c>
    </row>
    <row r="1639" spans="1:5" ht="12.75">
      <c r="A1639" s="6" t="str">
        <f>HYPERLINK(SUBSTITUTE(T(hl_0),"{0}","900331819332461"),hn_0)</f>
        <v>ОВ</v>
      </c>
      <c r="B1639" s="7" t="s">
        <v>459</v>
      </c>
      <c r="C1639" s="8">
        <v>7000</v>
      </c>
      <c r="D1639" s="7" t="s">
        <v>11</v>
      </c>
      <c r="E1639" s="7" t="s">
        <v>20</v>
      </c>
    </row>
    <row r="1640" spans="1:5" ht="12.75">
      <c r="A1640" s="6" t="str">
        <f>HYPERLINK(SUBSTITUTE(T(hl_0),"{0}","329332760996519"),hn_0)</f>
        <v>ОВ</v>
      </c>
      <c r="B1640" s="7" t="s">
        <v>460</v>
      </c>
      <c r="C1640" s="8">
        <v>8000</v>
      </c>
      <c r="D1640" s="7" t="s">
        <v>461</v>
      </c>
      <c r="E1640" s="7" t="s">
        <v>43</v>
      </c>
    </row>
    <row r="1641" spans="1:5" ht="12.75">
      <c r="A1641" s="6" t="str">
        <f>HYPERLINK(SUBSTITUTE(T(hl_0),"{0}","319332366814897"),hn_0)</f>
        <v>ОВ</v>
      </c>
      <c r="B1641" s="7" t="s">
        <v>462</v>
      </c>
      <c r="C1641" s="8">
        <v>10500</v>
      </c>
      <c r="D1641" s="7" t="s">
        <v>14</v>
      </c>
      <c r="E1641" s="7" t="s">
        <v>15</v>
      </c>
    </row>
    <row r="1642" spans="1:5" ht="12.75">
      <c r="A1642" s="6" t="str">
        <f>HYPERLINK(SUBSTITUTE(T(hl_0),"{0}","325329502186071"),hn_0)</f>
        <v>ОВ</v>
      </c>
      <c r="B1642" s="7" t="s">
        <v>462</v>
      </c>
      <c r="C1642" s="8">
        <v>11619</v>
      </c>
      <c r="D1642" s="7" t="s">
        <v>26</v>
      </c>
      <c r="E1642" s="7" t="s">
        <v>27</v>
      </c>
    </row>
    <row r="1643" spans="1:5" ht="12.75">
      <c r="A1643" s="6" t="str">
        <f>HYPERLINK(SUBSTITUTE(T(hl_0),"{0}","900331702982084"),hn_0)</f>
        <v>ОВ</v>
      </c>
      <c r="B1643" s="7" t="s">
        <v>462</v>
      </c>
      <c r="C1643" s="8">
        <v>10000</v>
      </c>
      <c r="D1643" s="7" t="s">
        <v>11</v>
      </c>
      <c r="E1643" s="7" t="s">
        <v>20</v>
      </c>
    </row>
    <row r="1644" spans="1:5" ht="12.75">
      <c r="A1644" s="6" t="str">
        <f>HYPERLINK(SUBSTITUTE(T(hl_0),"{0}","900332732572148"),hn_0)</f>
        <v>ОВ</v>
      </c>
      <c r="B1644" s="7" t="s">
        <v>463</v>
      </c>
      <c r="C1644" s="8">
        <v>7000</v>
      </c>
      <c r="D1644" s="7" t="s">
        <v>11</v>
      </c>
      <c r="E1644" s="7" t="s">
        <v>20</v>
      </c>
    </row>
    <row r="1645" spans="1:5" ht="12.75">
      <c r="A1645" s="6" t="str">
        <f>HYPERLINK(SUBSTITUTE(T(hl_0),"{0}","900332761648217"),hn_0)</f>
        <v>ОВ</v>
      </c>
      <c r="B1645" s="7" t="s">
        <v>463</v>
      </c>
      <c r="C1645" s="8">
        <v>6200</v>
      </c>
      <c r="D1645" s="7" t="s">
        <v>11</v>
      </c>
      <c r="E1645" s="7" t="s">
        <v>20</v>
      </c>
    </row>
    <row r="1646" spans="1:5" ht="12.75">
      <c r="A1646" s="6" t="str">
        <f>HYPERLINK(SUBSTITUTE(T(hl_0),"{0}","319331971003549"),hn_0)</f>
        <v>ОВ</v>
      </c>
      <c r="B1646" s="7" t="s">
        <v>464</v>
      </c>
      <c r="C1646" s="8">
        <v>6000</v>
      </c>
      <c r="D1646" s="7" t="s">
        <v>14</v>
      </c>
      <c r="E1646" s="7" t="s">
        <v>15</v>
      </c>
    </row>
    <row r="1647" spans="1:5" ht="12.75">
      <c r="A1647" s="6" t="str">
        <f>HYPERLINK(SUBSTITUTE(T(hl_0),"{0}","321327599547472"),hn_0)</f>
        <v>ОВ</v>
      </c>
      <c r="B1647" s="7" t="s">
        <v>464</v>
      </c>
      <c r="C1647" s="8">
        <v>6000</v>
      </c>
      <c r="D1647" s="7" t="s">
        <v>465</v>
      </c>
      <c r="E1647" s="7" t="s">
        <v>19</v>
      </c>
    </row>
    <row r="1648" spans="1:5" ht="12.75">
      <c r="A1648" s="6" t="str">
        <f>HYPERLINK(SUBSTITUTE(T(hl_0),"{0}","900331508723519"),hn_0)</f>
        <v>ОВ</v>
      </c>
      <c r="B1648" s="7" t="s">
        <v>464</v>
      </c>
      <c r="C1648" s="8">
        <v>6000</v>
      </c>
      <c r="D1648" s="7" t="s">
        <v>11</v>
      </c>
      <c r="E1648" s="7" t="s">
        <v>20</v>
      </c>
    </row>
    <row r="1649" spans="1:5" ht="12.75">
      <c r="A1649" s="6" t="str">
        <f>HYPERLINK(SUBSTITUTE(T(hl_0),"{0}","319329779706533"),hn_0)</f>
        <v>ОВ</v>
      </c>
      <c r="B1649" s="7" t="s">
        <v>466</v>
      </c>
      <c r="C1649" s="8">
        <v>7000</v>
      </c>
      <c r="D1649" s="7" t="s">
        <v>14</v>
      </c>
      <c r="E1649" s="7" t="s">
        <v>15</v>
      </c>
    </row>
    <row r="1650" spans="1:5" ht="25.5">
      <c r="A1650" s="6" t="str">
        <f>HYPERLINK(SUBSTITUTE(T(hl_0),"{0}","320332051831302"),hn_0)</f>
        <v>ОВ</v>
      </c>
      <c r="B1650" s="7" t="s">
        <v>467</v>
      </c>
      <c r="C1650" s="8">
        <v>5000</v>
      </c>
      <c r="D1650" s="7" t="s">
        <v>84</v>
      </c>
      <c r="E1650" s="7" t="s">
        <v>17</v>
      </c>
    </row>
    <row r="1651" spans="1:5" ht="12.75">
      <c r="A1651" s="6" t="str">
        <f>HYPERLINK(SUBSTITUTE(T(hl_0),"{0}","900332144243906"),hn_0)</f>
        <v>ОВ</v>
      </c>
      <c r="B1651" s="7" t="s">
        <v>467</v>
      </c>
      <c r="C1651" s="8">
        <v>8000</v>
      </c>
      <c r="D1651" s="7" t="s">
        <v>11</v>
      </c>
      <c r="E1651" s="7" t="s">
        <v>20</v>
      </c>
    </row>
    <row r="1652" spans="1:5" ht="12.75">
      <c r="A1652" s="6" t="str">
        <f>HYPERLINK(SUBSTITUTE(T(hl_0),"{0}","900324867906493"),hn_0)</f>
        <v>ОВ</v>
      </c>
      <c r="B1652" s="7" t="s">
        <v>467</v>
      </c>
      <c r="C1652" s="8">
        <v>10000</v>
      </c>
      <c r="D1652" s="7" t="s">
        <v>11</v>
      </c>
      <c r="E1652" s="7" t="s">
        <v>20</v>
      </c>
    </row>
    <row r="1653" spans="1:5" ht="25.5">
      <c r="A1653" s="6" t="str">
        <f>HYPERLINK(SUBSTITUTE(T(hl_0),"{0}","320331726985321"),hn_0)</f>
        <v>ОВ</v>
      </c>
      <c r="B1653" s="7" t="s">
        <v>468</v>
      </c>
      <c r="C1653" s="8">
        <v>5000</v>
      </c>
      <c r="D1653" s="7" t="s">
        <v>16</v>
      </c>
      <c r="E1653" s="7" t="s">
        <v>17</v>
      </c>
    </row>
    <row r="1654" spans="1:5" ht="12.75">
      <c r="A1654" s="6" t="str">
        <f>HYPERLINK(SUBSTITUTE(T(hl_0),"{0}","900331138142168"),hn_0)</f>
        <v>ОВ</v>
      </c>
      <c r="B1654" s="7" t="s">
        <v>468</v>
      </c>
      <c r="C1654" s="8">
        <v>5000</v>
      </c>
      <c r="D1654" s="7" t="s">
        <v>11</v>
      </c>
      <c r="E1654" s="7" t="s">
        <v>20</v>
      </c>
    </row>
    <row r="1655" spans="1:5" ht="12.75">
      <c r="A1655" s="6" t="str">
        <f>HYPERLINK(SUBSTITUTE(T(hl_0),"{0}","900331794918524"),hn_0)</f>
        <v>ОВ</v>
      </c>
      <c r="B1655" s="7" t="s">
        <v>468</v>
      </c>
      <c r="C1655" s="8">
        <v>5951</v>
      </c>
      <c r="D1655" s="7" t="s">
        <v>223</v>
      </c>
      <c r="E1655" s="7" t="s">
        <v>20</v>
      </c>
    </row>
    <row r="1656" spans="1:5" ht="12.75">
      <c r="A1656" s="6" t="str">
        <f>HYPERLINK(SUBSTITUTE(T(hl_0),"{0}","900331794906679"),hn_0)</f>
        <v>ОВ</v>
      </c>
      <c r="B1656" s="7" t="s">
        <v>468</v>
      </c>
      <c r="C1656" s="8">
        <v>5951</v>
      </c>
      <c r="D1656" s="7" t="s">
        <v>36</v>
      </c>
      <c r="E1656" s="7" t="s">
        <v>20</v>
      </c>
    </row>
    <row r="1657" spans="1:5" ht="12.75">
      <c r="A1657" s="6" t="str">
        <f>HYPERLINK(SUBSTITUTE(T(hl_0),"{0}","900327859692925"),hn_0)</f>
        <v>ОВ</v>
      </c>
      <c r="B1657" s="7" t="s">
        <v>468</v>
      </c>
      <c r="C1657" s="8">
        <v>5951</v>
      </c>
      <c r="D1657" s="7" t="s">
        <v>11</v>
      </c>
      <c r="E1657" s="7" t="s">
        <v>20</v>
      </c>
    </row>
    <row r="1658" spans="1:5" ht="25.5">
      <c r="A1658" s="6" t="str">
        <f>HYPERLINK(SUBSTITUTE(T(hl_0),"{0}","328332147780736"),hn_0)</f>
        <v>ОВ</v>
      </c>
      <c r="B1658" s="7" t="s">
        <v>469</v>
      </c>
      <c r="C1658" s="8">
        <v>5917</v>
      </c>
      <c r="D1658" s="7" t="s">
        <v>57</v>
      </c>
      <c r="E1658" s="7" t="s">
        <v>58</v>
      </c>
    </row>
    <row r="1659" spans="1:5" ht="12.75">
      <c r="A1659" s="6" t="str">
        <f>HYPERLINK(SUBSTITUTE(T(hl_0),"{0}","900332416071589"),hn_0)</f>
        <v>ОВ</v>
      </c>
      <c r="B1659" s="7" t="s">
        <v>470</v>
      </c>
      <c r="C1659" s="8">
        <v>8000</v>
      </c>
      <c r="D1659" s="7" t="s">
        <v>11</v>
      </c>
      <c r="E1659" s="7" t="s">
        <v>20</v>
      </c>
    </row>
    <row r="1660" spans="1:5" ht="12.75">
      <c r="A1660" s="6" t="str">
        <f>HYPERLINK(SUBSTITUTE(T(hl_0),"{0}","319332705449070"),hn_0)</f>
        <v>ОВ</v>
      </c>
      <c r="B1660" s="7" t="s">
        <v>471</v>
      </c>
      <c r="C1660" s="8">
        <v>5000</v>
      </c>
      <c r="D1660" s="7" t="s">
        <v>14</v>
      </c>
      <c r="E1660" s="7" t="s">
        <v>15</v>
      </c>
    </row>
    <row r="1661" spans="1:5" ht="12.75">
      <c r="A1661" s="6" t="str">
        <f>HYPERLINK(SUBSTITUTE(T(hl_0),"{0}","319332417226105"),hn_0)</f>
        <v>ОВ</v>
      </c>
      <c r="B1661" s="7" t="s">
        <v>471</v>
      </c>
      <c r="C1661" s="8">
        <v>5042</v>
      </c>
      <c r="D1661" s="7" t="s">
        <v>14</v>
      </c>
      <c r="E1661" s="7" t="s">
        <v>15</v>
      </c>
    </row>
    <row r="1662" spans="1:5" ht="25.5">
      <c r="A1662" s="6" t="str">
        <f>HYPERLINK(SUBSTITUTE(T(hl_0),"{0}","320328477278969"),hn_0)</f>
        <v>ОВ</v>
      </c>
      <c r="B1662" s="7" t="s">
        <v>471</v>
      </c>
      <c r="C1662" s="8">
        <v>5000</v>
      </c>
      <c r="D1662" s="7" t="s">
        <v>16</v>
      </c>
      <c r="E1662" s="7" t="s">
        <v>17</v>
      </c>
    </row>
    <row r="1663" spans="1:5" ht="12.75">
      <c r="A1663" s="6" t="str">
        <f>HYPERLINK(SUBSTITUTE(T(hl_0),"{0}","325332648331110"),hn_0)</f>
        <v>ОВ</v>
      </c>
      <c r="B1663" s="7" t="s">
        <v>471</v>
      </c>
      <c r="C1663" s="8">
        <v>8000</v>
      </c>
      <c r="D1663" s="7" t="s">
        <v>41</v>
      </c>
      <c r="E1663" s="7" t="s">
        <v>27</v>
      </c>
    </row>
    <row r="1664" spans="1:5" ht="12.75">
      <c r="A1664" s="6" t="str">
        <f>HYPERLINK(SUBSTITUTE(T(hl_0),"{0}","325332704993923"),hn_0)</f>
        <v>ОВ</v>
      </c>
      <c r="B1664" s="7" t="s">
        <v>471</v>
      </c>
      <c r="C1664" s="8">
        <v>5000</v>
      </c>
      <c r="D1664" s="7" t="s">
        <v>26</v>
      </c>
      <c r="E1664" s="7" t="s">
        <v>27</v>
      </c>
    </row>
    <row r="1665" spans="1:5" ht="12.75">
      <c r="A1665" s="6" t="str">
        <f>HYPERLINK(SUBSTITUTE(T(hl_0),"{0}","900332418923361"),hn_0)</f>
        <v>ОВ</v>
      </c>
      <c r="B1665" s="7" t="s">
        <v>471</v>
      </c>
      <c r="C1665" s="8">
        <v>8000</v>
      </c>
      <c r="D1665" s="7" t="s">
        <v>11</v>
      </c>
      <c r="E1665" s="7" t="s">
        <v>20</v>
      </c>
    </row>
    <row r="1666" spans="1:5" ht="12.75">
      <c r="A1666" s="6" t="str">
        <f>HYPERLINK(SUBSTITUTE(T(hl_0),"{0}","900332146262083"),hn_0)</f>
        <v>ОВ</v>
      </c>
      <c r="B1666" s="7" t="s">
        <v>472</v>
      </c>
      <c r="C1666" s="8">
        <v>6607</v>
      </c>
      <c r="D1666" s="7" t="s">
        <v>11</v>
      </c>
      <c r="E1666" s="7" t="s">
        <v>20</v>
      </c>
    </row>
    <row r="1667" spans="1:5" ht="12.75">
      <c r="A1667" s="6" t="str">
        <f>HYPERLINK(SUBSTITUTE(T(hl_0),"{0}","321330190135108"),hn_0)</f>
        <v>ОВ</v>
      </c>
      <c r="B1667" s="7" t="s">
        <v>473</v>
      </c>
      <c r="C1667" s="8">
        <v>7000</v>
      </c>
      <c r="D1667" s="7" t="s">
        <v>283</v>
      </c>
      <c r="E1667" s="7" t="s">
        <v>19</v>
      </c>
    </row>
    <row r="1668" spans="1:5" ht="12.75">
      <c r="A1668" s="6" t="str">
        <f>HYPERLINK(SUBSTITUTE(T(hl_0),"{0}","900331675772589"),hn_0)</f>
        <v>ОВ</v>
      </c>
      <c r="B1668" s="7" t="s">
        <v>473</v>
      </c>
      <c r="C1668" s="8">
        <v>5000</v>
      </c>
      <c r="D1668" s="7" t="s">
        <v>11</v>
      </c>
      <c r="E1668" s="7" t="s">
        <v>20</v>
      </c>
    </row>
    <row r="1669" spans="1:5" ht="25.5">
      <c r="A1669" s="6" t="str">
        <f>HYPERLINK(SUBSTITUTE(T(hl_0),"{0}","320331560306132"),hn_0)</f>
        <v>ОВ</v>
      </c>
      <c r="B1669" s="7" t="s">
        <v>474</v>
      </c>
      <c r="C1669" s="8">
        <v>8000</v>
      </c>
      <c r="D1669" s="7" t="s">
        <v>16</v>
      </c>
      <c r="E1669" s="7" t="s">
        <v>17</v>
      </c>
    </row>
    <row r="1670" spans="1:5" ht="12.75">
      <c r="A1670" s="6" t="str">
        <f>HYPERLINK(SUBSTITUTE(T(hl_0),"{0}","334332529738964"),hn_0)</f>
        <v>ОВ</v>
      </c>
      <c r="B1670" s="7" t="s">
        <v>474</v>
      </c>
      <c r="C1670" s="8">
        <v>6000</v>
      </c>
      <c r="D1670" s="7" t="s">
        <v>475</v>
      </c>
      <c r="E1670" s="7" t="s">
        <v>209</v>
      </c>
    </row>
    <row r="1671" spans="1:5" ht="12.75">
      <c r="A1671" s="6" t="str">
        <f>HYPERLINK(SUBSTITUTE(T(hl_0),"{0}","900331673720170"),hn_0)</f>
        <v>ОВ</v>
      </c>
      <c r="B1671" s="7" t="s">
        <v>476</v>
      </c>
      <c r="C1671" s="8">
        <v>14680</v>
      </c>
      <c r="D1671" s="7" t="s">
        <v>11</v>
      </c>
      <c r="E1671" s="7" t="s">
        <v>20</v>
      </c>
    </row>
    <row r="1672" spans="1:5" ht="12.75">
      <c r="A1672" s="6" t="str">
        <f>HYPERLINK(SUBSTITUTE(T(hl_0),"{0}","319332247496677"),hn_0)</f>
        <v>ОВ</v>
      </c>
      <c r="B1672" s="7" t="s">
        <v>477</v>
      </c>
      <c r="C1672" s="8">
        <v>28000</v>
      </c>
      <c r="D1672" s="7" t="s">
        <v>14</v>
      </c>
      <c r="E1672" s="7" t="s">
        <v>15</v>
      </c>
    </row>
    <row r="1673" spans="1:5" ht="12.75">
      <c r="A1673" s="6" t="str">
        <f>HYPERLINK(SUBSTITUTE(T(hl_0),"{0}","319329969929919"),hn_0)</f>
        <v>ОВ</v>
      </c>
      <c r="B1673" s="7" t="s">
        <v>477</v>
      </c>
      <c r="C1673" s="8">
        <v>10090</v>
      </c>
      <c r="D1673" s="7" t="s">
        <v>14</v>
      </c>
      <c r="E1673" s="7" t="s">
        <v>15</v>
      </c>
    </row>
    <row r="1674" spans="1:5" ht="25.5">
      <c r="A1674" s="6" t="str">
        <f>HYPERLINK(SUBSTITUTE(T(hl_0),"{0}","320332679701075"),hn_0)</f>
        <v>ОВ</v>
      </c>
      <c r="B1674" s="7" t="s">
        <v>477</v>
      </c>
      <c r="C1674" s="8">
        <v>5670</v>
      </c>
      <c r="D1674" s="7" t="s">
        <v>16</v>
      </c>
      <c r="E1674" s="7" t="s">
        <v>17</v>
      </c>
    </row>
    <row r="1675" spans="1:5" ht="12.75">
      <c r="A1675" s="6" t="str">
        <f>HYPERLINK(SUBSTITUTE(T(hl_0),"{0}","321331901755395"),hn_0)</f>
        <v>ОВ</v>
      </c>
      <c r="B1675" s="7" t="s">
        <v>477</v>
      </c>
      <c r="C1675" s="8">
        <v>5000</v>
      </c>
      <c r="D1675" s="7" t="s">
        <v>18</v>
      </c>
      <c r="E1675" s="7" t="s">
        <v>19</v>
      </c>
    </row>
    <row r="1676" spans="1:5" ht="12.75">
      <c r="A1676" s="6" t="str">
        <f>HYPERLINK(SUBSTITUTE(T(hl_0),"{0}","321331649687178"),hn_0)</f>
        <v>ОВ</v>
      </c>
      <c r="B1676" s="7" t="s">
        <v>477</v>
      </c>
      <c r="C1676" s="8">
        <v>5070</v>
      </c>
      <c r="D1676" s="7" t="s">
        <v>478</v>
      </c>
      <c r="E1676" s="7" t="s">
        <v>19</v>
      </c>
    </row>
    <row r="1677" spans="1:5" ht="12.75">
      <c r="A1677" s="6" t="str">
        <f>HYPERLINK(SUBSTITUTE(T(hl_0),"{0}","321327315197362"),hn_0)</f>
        <v>ОВ</v>
      </c>
      <c r="B1677" s="7" t="s">
        <v>477</v>
      </c>
      <c r="C1677" s="8">
        <v>10000</v>
      </c>
      <c r="D1677" s="7" t="s">
        <v>18</v>
      </c>
      <c r="E1677" s="7" t="s">
        <v>19</v>
      </c>
    </row>
    <row r="1678" spans="1:5" ht="12.75">
      <c r="A1678" s="6" t="str">
        <f>HYPERLINK(SUBSTITUTE(T(hl_0),"{0}","321327619513865"),hn_0)</f>
        <v>ОВ</v>
      </c>
      <c r="B1678" s="7" t="s">
        <v>477</v>
      </c>
      <c r="C1678" s="8">
        <v>15491</v>
      </c>
      <c r="D1678" s="7" t="s">
        <v>18</v>
      </c>
      <c r="E1678" s="7" t="s">
        <v>19</v>
      </c>
    </row>
    <row r="1679" spans="1:5" ht="12.75">
      <c r="A1679" s="6" t="str">
        <f>HYPERLINK(SUBSTITUTE(T(hl_0),"{0}","321327619513865"),hn_0)</f>
        <v>ОВ</v>
      </c>
      <c r="B1679" s="7" t="s">
        <v>477</v>
      </c>
      <c r="C1679" s="8">
        <v>15491</v>
      </c>
      <c r="D1679" s="7" t="s">
        <v>18</v>
      </c>
      <c r="E1679" s="7" t="s">
        <v>19</v>
      </c>
    </row>
    <row r="1680" spans="1:5" ht="12.75">
      <c r="A1680" s="6" t="str">
        <f>HYPERLINK(SUBSTITUTE(T(hl_0),"{0}","321327644876522"),hn_0)</f>
        <v>ОВ</v>
      </c>
      <c r="B1680" s="7" t="s">
        <v>477</v>
      </c>
      <c r="C1680" s="8">
        <v>10000</v>
      </c>
      <c r="D1680" s="7" t="s">
        <v>18</v>
      </c>
      <c r="E1680" s="7" t="s">
        <v>19</v>
      </c>
    </row>
    <row r="1681" spans="1:5" ht="12.75">
      <c r="A1681" s="6" t="str">
        <f>HYPERLINK(SUBSTITUTE(T(hl_0),"{0}","324332000237622"),hn_0)</f>
        <v>ОВ</v>
      </c>
      <c r="B1681" s="7" t="s">
        <v>477</v>
      </c>
      <c r="C1681" s="8">
        <v>6500</v>
      </c>
      <c r="D1681" s="7" t="s">
        <v>237</v>
      </c>
      <c r="E1681" s="7" t="s">
        <v>190</v>
      </c>
    </row>
    <row r="1682" spans="1:5" ht="12.75">
      <c r="A1682" s="6" t="str">
        <f>HYPERLINK(SUBSTITUTE(T(hl_0),"{0}","325329502075385"),hn_0)</f>
        <v>ОВ</v>
      </c>
      <c r="B1682" s="7" t="s">
        <v>477</v>
      </c>
      <c r="C1682" s="8">
        <v>13508</v>
      </c>
      <c r="D1682" s="7" t="s">
        <v>26</v>
      </c>
      <c r="E1682" s="7" t="s">
        <v>27</v>
      </c>
    </row>
    <row r="1683" spans="1:5" ht="12.75">
      <c r="A1683" s="6" t="str">
        <f>HYPERLINK(SUBSTITUTE(T(hl_0),"{0}","900329938857736"),hn_0)</f>
        <v>ОВ</v>
      </c>
      <c r="B1683" s="7" t="s">
        <v>477</v>
      </c>
      <c r="C1683" s="8">
        <v>8000</v>
      </c>
      <c r="D1683" s="7" t="s">
        <v>11</v>
      </c>
      <c r="E1683" s="7" t="s">
        <v>20</v>
      </c>
    </row>
    <row r="1684" spans="1:5" ht="12.75">
      <c r="A1684" s="6" t="str">
        <f>HYPERLINK(SUBSTITUTE(T(hl_0),"{0}","900331846797568"),hn_0)</f>
        <v>ОВ</v>
      </c>
      <c r="B1684" s="7" t="s">
        <v>479</v>
      </c>
      <c r="C1684" s="8">
        <v>5450</v>
      </c>
      <c r="D1684" s="7" t="s">
        <v>11</v>
      </c>
      <c r="E1684" s="7" t="s">
        <v>20</v>
      </c>
    </row>
    <row r="1685" spans="1:5" ht="12.75">
      <c r="A1685" s="6" t="str">
        <f>HYPERLINK(SUBSTITUTE(T(hl_0),"{0}","900331846797568"),hn_0)</f>
        <v>ОВ</v>
      </c>
      <c r="B1685" s="7" t="s">
        <v>479</v>
      </c>
      <c r="C1685" s="8">
        <v>5450</v>
      </c>
      <c r="D1685" s="7" t="s">
        <v>11</v>
      </c>
      <c r="E1685" s="7" t="s">
        <v>20</v>
      </c>
    </row>
    <row r="1686" spans="1:5" ht="12.75">
      <c r="A1686" s="6" t="str">
        <f>HYPERLINK(SUBSTITUTE(T(hl_0),"{0}","326329940020408"),hn_0)</f>
        <v>ОВ</v>
      </c>
      <c r="B1686" s="7" t="s">
        <v>480</v>
      </c>
      <c r="C1686" s="8">
        <v>6000</v>
      </c>
      <c r="D1686" s="7" t="s">
        <v>375</v>
      </c>
      <c r="E1686" s="7" t="s">
        <v>40</v>
      </c>
    </row>
    <row r="1687" spans="1:5" ht="12.75">
      <c r="A1687" s="6" t="str">
        <f>HYPERLINK(SUBSTITUTE(T(hl_0),"{0}","330332731073891"),hn_0)</f>
        <v>ОВ</v>
      </c>
      <c r="B1687" s="7" t="s">
        <v>480</v>
      </c>
      <c r="C1687" s="8">
        <v>6500</v>
      </c>
      <c r="D1687" s="7" t="s">
        <v>252</v>
      </c>
      <c r="E1687" s="7" t="s">
        <v>29</v>
      </c>
    </row>
    <row r="1688" spans="1:5" ht="12.75">
      <c r="A1688" s="6" t="str">
        <f>HYPERLINK(SUBSTITUTE(T(hl_0),"{0}","331332555010947"),hn_0)</f>
        <v>ОВ</v>
      </c>
      <c r="B1688" s="7" t="s">
        <v>480</v>
      </c>
      <c r="C1688" s="8">
        <v>5000</v>
      </c>
      <c r="D1688" s="7" t="s">
        <v>481</v>
      </c>
      <c r="E1688" s="7" t="s">
        <v>195</v>
      </c>
    </row>
    <row r="1689" spans="1:5" ht="12.75">
      <c r="A1689" s="6" t="str">
        <f>HYPERLINK(SUBSTITUTE(T(hl_0),"{0}","900327621032318"),hn_0)</f>
        <v>ОВ</v>
      </c>
      <c r="B1689" s="7" t="s">
        <v>480</v>
      </c>
      <c r="C1689" s="8">
        <v>7000</v>
      </c>
      <c r="D1689" s="7" t="s">
        <v>11</v>
      </c>
      <c r="E1689" s="7" t="s">
        <v>20</v>
      </c>
    </row>
    <row r="1690" spans="1:5" ht="12.75">
      <c r="A1690" s="6" t="str">
        <f>HYPERLINK(SUBSTITUTE(T(hl_0),"{0}","327328423983021"),hn_0)</f>
        <v>ОВ</v>
      </c>
      <c r="B1690" s="7" t="s">
        <v>482</v>
      </c>
      <c r="C1690" s="8">
        <v>7000</v>
      </c>
      <c r="D1690" s="7" t="s">
        <v>41</v>
      </c>
      <c r="E1690" s="7" t="s">
        <v>12</v>
      </c>
    </row>
    <row r="1691" spans="1:5" ht="12.75">
      <c r="A1691" s="6" t="str">
        <f>HYPERLINK(SUBSTITUTE(T(hl_0),"{0}","327332527969221"),hn_0)</f>
        <v>ОВ</v>
      </c>
      <c r="B1691" s="7" t="s">
        <v>483</v>
      </c>
      <c r="C1691" s="8">
        <v>10000</v>
      </c>
      <c r="D1691" s="7" t="s">
        <v>11</v>
      </c>
      <c r="E1691" s="7" t="s">
        <v>12</v>
      </c>
    </row>
    <row r="1692" spans="1:5" ht="12.75">
      <c r="A1692" s="6" t="str">
        <f>HYPERLINK(SUBSTITUTE(T(hl_0),"{0}","327330658159896"),hn_0)</f>
        <v>ОВ</v>
      </c>
      <c r="B1692" s="7" t="s">
        <v>483</v>
      </c>
      <c r="C1692" s="8">
        <v>7000</v>
      </c>
      <c r="D1692" s="7" t="s">
        <v>11</v>
      </c>
      <c r="E1692" s="7" t="s">
        <v>12</v>
      </c>
    </row>
    <row r="1693" spans="1:5" ht="12.75">
      <c r="A1693" s="6" t="str">
        <f>HYPERLINK(SUBSTITUTE(T(hl_0),"{0}","900332649193994"),hn_0)</f>
        <v>ОВ</v>
      </c>
      <c r="B1693" s="7" t="s">
        <v>484</v>
      </c>
      <c r="C1693" s="8">
        <v>10000</v>
      </c>
      <c r="D1693" s="7" t="s">
        <v>11</v>
      </c>
      <c r="E1693" s="7" t="s">
        <v>20</v>
      </c>
    </row>
    <row r="1694" spans="1:5" ht="12.75">
      <c r="A1694" s="6" t="str">
        <f>HYPERLINK(SUBSTITUTE(T(hl_0),"{0}","319331508012560"),hn_0)</f>
        <v>ОВ</v>
      </c>
      <c r="B1694" s="7" t="s">
        <v>485</v>
      </c>
      <c r="C1694" s="8">
        <v>6350</v>
      </c>
      <c r="D1694" s="7" t="s">
        <v>14</v>
      </c>
      <c r="E1694" s="7" t="s">
        <v>15</v>
      </c>
    </row>
    <row r="1695" spans="1:5" ht="12.75">
      <c r="A1695" s="6" t="str">
        <f>HYPERLINK(SUBSTITUTE(T(hl_0),"{0}","319327465927688"),hn_0)</f>
        <v>ОВ</v>
      </c>
      <c r="B1695" s="7" t="s">
        <v>485</v>
      </c>
      <c r="C1695" s="8">
        <v>8000</v>
      </c>
      <c r="D1695" s="7" t="s">
        <v>14</v>
      </c>
      <c r="E1695" s="7" t="s">
        <v>15</v>
      </c>
    </row>
    <row r="1696" spans="1:5" ht="25.5">
      <c r="A1696" s="6" t="str">
        <f>HYPERLINK(SUBSTITUTE(T(hl_0),"{0}","320332825802212"),hn_0)</f>
        <v>ОВ</v>
      </c>
      <c r="B1696" s="7" t="s">
        <v>485</v>
      </c>
      <c r="C1696" s="8">
        <v>6000</v>
      </c>
      <c r="D1696" s="7" t="s">
        <v>16</v>
      </c>
      <c r="E1696" s="7" t="s">
        <v>17</v>
      </c>
    </row>
    <row r="1697" spans="1:5" ht="12.75">
      <c r="A1697" s="6" t="str">
        <f>HYPERLINK(SUBSTITUTE(T(hl_0),"{0}","325331676510476"),hn_0)</f>
        <v>ОВ</v>
      </c>
      <c r="B1697" s="7" t="s">
        <v>485</v>
      </c>
      <c r="C1697" s="8">
        <v>5000</v>
      </c>
      <c r="D1697" s="7" t="s">
        <v>34</v>
      </c>
      <c r="E1697" s="7" t="s">
        <v>27</v>
      </c>
    </row>
    <row r="1698" spans="1:5" ht="12.75">
      <c r="A1698" s="6" t="str">
        <f>HYPERLINK(SUBSTITUTE(T(hl_0),"{0}","326331626125400"),hn_0)</f>
        <v>ОВ</v>
      </c>
      <c r="B1698" s="7" t="s">
        <v>485</v>
      </c>
      <c r="C1698" s="8">
        <v>7000</v>
      </c>
      <c r="D1698" s="7" t="s">
        <v>206</v>
      </c>
      <c r="E1698" s="7" t="s">
        <v>40</v>
      </c>
    </row>
    <row r="1699" spans="1:5" ht="12.75">
      <c r="A1699" s="6" t="str">
        <f>HYPERLINK(SUBSTITUTE(T(hl_0),"{0}","900332417238509"),hn_0)</f>
        <v>ОВ</v>
      </c>
      <c r="B1699" s="7" t="s">
        <v>485</v>
      </c>
      <c r="C1699" s="8">
        <v>5000</v>
      </c>
      <c r="D1699" s="7" t="s">
        <v>199</v>
      </c>
      <c r="E1699" s="7" t="s">
        <v>20</v>
      </c>
    </row>
    <row r="1700" spans="1:5" ht="12.75">
      <c r="A1700" s="6" t="str">
        <f>HYPERLINK(SUBSTITUTE(T(hl_0),"{0}","900332731275716"),hn_0)</f>
        <v>ОВ</v>
      </c>
      <c r="B1700" s="7" t="s">
        <v>485</v>
      </c>
      <c r="C1700" s="8">
        <v>7000</v>
      </c>
      <c r="D1700" s="7" t="s">
        <v>53</v>
      </c>
      <c r="E1700" s="7" t="s">
        <v>20</v>
      </c>
    </row>
    <row r="1701" spans="1:5" ht="12.75">
      <c r="A1701" s="6" t="str">
        <f>HYPERLINK(SUBSTITUTE(T(hl_0),"{0}","319332415696001"),hn_0)</f>
        <v>ОВ</v>
      </c>
      <c r="B1701" s="7" t="s">
        <v>486</v>
      </c>
      <c r="C1701" s="8">
        <v>10787</v>
      </c>
      <c r="D1701" s="7" t="s">
        <v>14</v>
      </c>
      <c r="E1701" s="7" t="s">
        <v>15</v>
      </c>
    </row>
    <row r="1702" spans="1:5" ht="12.75">
      <c r="A1702" s="6" t="str">
        <f>HYPERLINK(SUBSTITUTE(T(hl_0),"{0}","330332343965993"),hn_0)</f>
        <v>ОВ</v>
      </c>
      <c r="B1702" s="7" t="s">
        <v>487</v>
      </c>
      <c r="C1702" s="8">
        <v>12000</v>
      </c>
      <c r="D1702" s="7" t="s">
        <v>28</v>
      </c>
      <c r="E1702" s="7" t="s">
        <v>29</v>
      </c>
    </row>
    <row r="1703" spans="1:5" ht="12.75">
      <c r="A1703" s="6" t="str">
        <f>HYPERLINK(SUBSTITUTE(T(hl_0),"{0}","330332343965993"),hn_0)</f>
        <v>ОВ</v>
      </c>
      <c r="B1703" s="7" t="s">
        <v>487</v>
      </c>
      <c r="C1703" s="8">
        <v>12000</v>
      </c>
      <c r="D1703" s="7" t="s">
        <v>28</v>
      </c>
      <c r="E1703" s="7" t="s">
        <v>29</v>
      </c>
    </row>
    <row r="1704" spans="1:5" ht="12.75">
      <c r="A1704" s="6" t="str">
        <f>HYPERLINK(SUBSTITUTE(T(hl_0),"{0}","900331561289811"),hn_0)</f>
        <v>ОВ</v>
      </c>
      <c r="B1704" s="7" t="s">
        <v>487</v>
      </c>
      <c r="C1704" s="8">
        <v>8000</v>
      </c>
      <c r="D1704" s="7" t="s">
        <v>11</v>
      </c>
      <c r="E1704" s="7" t="s">
        <v>20</v>
      </c>
    </row>
    <row r="1705" spans="1:5" ht="12.75">
      <c r="A1705" s="6" t="str">
        <f>HYPERLINK(SUBSTITUTE(T(hl_0),"{0}","900331843618306"),hn_0)</f>
        <v>ОВ</v>
      </c>
      <c r="B1705" s="7" t="s">
        <v>487</v>
      </c>
      <c r="C1705" s="8">
        <v>16000</v>
      </c>
      <c r="D1705" s="7" t="s">
        <v>11</v>
      </c>
      <c r="E1705" s="7" t="s">
        <v>20</v>
      </c>
    </row>
    <row r="1706" spans="1:5" ht="12.75">
      <c r="A1706" s="6" t="str">
        <f>HYPERLINK(SUBSTITUTE(T(hl_0),"{0}","321332734256893"),hn_0)</f>
        <v>ОВ</v>
      </c>
      <c r="B1706" s="7" t="s">
        <v>488</v>
      </c>
      <c r="C1706" s="8">
        <v>10000</v>
      </c>
      <c r="D1706" s="7" t="s">
        <v>18</v>
      </c>
      <c r="E1706" s="7" t="s">
        <v>19</v>
      </c>
    </row>
    <row r="1707" spans="1:5" ht="12.75">
      <c r="A1707" s="6" t="str">
        <f>HYPERLINK(SUBSTITUTE(T(hl_0),"{0}","321330190370898"),hn_0)</f>
        <v>ОВ</v>
      </c>
      <c r="B1707" s="7" t="s">
        <v>488</v>
      </c>
      <c r="C1707" s="8">
        <v>9000</v>
      </c>
      <c r="D1707" s="7" t="s">
        <v>283</v>
      </c>
      <c r="E1707" s="7" t="s">
        <v>19</v>
      </c>
    </row>
    <row r="1708" spans="1:5" ht="12.75">
      <c r="A1708" s="6" t="str">
        <f>HYPERLINK(SUBSTITUTE(T(hl_0),"{0}","328330161815336"),hn_0)</f>
        <v>ОВ</v>
      </c>
      <c r="B1708" s="7" t="s">
        <v>488</v>
      </c>
      <c r="C1708" s="8">
        <v>5000</v>
      </c>
      <c r="D1708" s="7" t="s">
        <v>57</v>
      </c>
      <c r="E1708" s="7" t="s">
        <v>58</v>
      </c>
    </row>
    <row r="1709" spans="1:5" ht="12.75">
      <c r="A1709" s="6" t="str">
        <f>HYPERLINK(SUBSTITUTE(T(hl_0),"{0}","335332760290212"),hn_0)</f>
        <v>ОВ</v>
      </c>
      <c r="B1709" s="7" t="s">
        <v>488</v>
      </c>
      <c r="C1709" s="8">
        <v>8700</v>
      </c>
      <c r="D1709" s="7" t="s">
        <v>276</v>
      </c>
      <c r="E1709" s="7" t="s">
        <v>277</v>
      </c>
    </row>
    <row r="1710" spans="1:5" ht="12.75">
      <c r="A1710" s="6" t="str">
        <f>HYPERLINK(SUBSTITUTE(T(hl_0),"{0}","900332678266633"),hn_0)</f>
        <v>ОВ</v>
      </c>
      <c r="B1710" s="7" t="s">
        <v>488</v>
      </c>
      <c r="C1710" s="8">
        <v>10000</v>
      </c>
      <c r="D1710" s="7" t="s">
        <v>11</v>
      </c>
      <c r="E1710" s="7" t="s">
        <v>20</v>
      </c>
    </row>
    <row r="1711" spans="1:5" ht="12.75">
      <c r="A1711" s="6" t="str">
        <f>HYPERLINK(SUBSTITUTE(T(hl_0),"{0}","900331899844162"),hn_0)</f>
        <v>ОВ</v>
      </c>
      <c r="B1711" s="7" t="s">
        <v>488</v>
      </c>
      <c r="C1711" s="8">
        <v>7000</v>
      </c>
      <c r="D1711" s="7" t="s">
        <v>11</v>
      </c>
      <c r="E1711" s="7" t="s">
        <v>20</v>
      </c>
    </row>
    <row r="1712" spans="1:5" ht="12.75">
      <c r="A1712" s="6" t="str">
        <f>HYPERLINK(SUBSTITUTE(T(hl_0),"{0}","900331899844162"),hn_0)</f>
        <v>ОВ</v>
      </c>
      <c r="B1712" s="7" t="s">
        <v>488</v>
      </c>
      <c r="C1712" s="8">
        <v>7000</v>
      </c>
      <c r="D1712" s="7" t="s">
        <v>11</v>
      </c>
      <c r="E1712" s="7" t="s">
        <v>20</v>
      </c>
    </row>
    <row r="1713" spans="1:5" ht="12.75">
      <c r="A1713" s="6" t="str">
        <f>HYPERLINK(SUBSTITUTE(T(hl_0),"{0}","900331899844162"),hn_0)</f>
        <v>ОВ</v>
      </c>
      <c r="B1713" s="7" t="s">
        <v>488</v>
      </c>
      <c r="C1713" s="8">
        <v>7000</v>
      </c>
      <c r="D1713" s="7" t="s">
        <v>11</v>
      </c>
      <c r="E1713" s="7" t="s">
        <v>20</v>
      </c>
    </row>
    <row r="1714" spans="1:5" ht="12.75">
      <c r="A1714" s="6" t="str">
        <f>HYPERLINK(SUBSTITUTE(T(hl_0),"{0}","900331561435316"),hn_0)</f>
        <v>ОВ</v>
      </c>
      <c r="B1714" s="7" t="s">
        <v>488</v>
      </c>
      <c r="C1714" s="8">
        <v>11830</v>
      </c>
      <c r="D1714" s="7" t="s">
        <v>11</v>
      </c>
      <c r="E1714" s="7" t="s">
        <v>20</v>
      </c>
    </row>
    <row r="1715" spans="1:5" ht="25.5">
      <c r="A1715" s="6" t="str">
        <f>HYPERLINK(SUBSTITUTE(T(hl_0),"{0}","320331560256632"),hn_0)</f>
        <v>ОВ</v>
      </c>
      <c r="B1715" s="7" t="s">
        <v>489</v>
      </c>
      <c r="C1715" s="8">
        <v>11000</v>
      </c>
      <c r="D1715" s="7" t="s">
        <v>16</v>
      </c>
      <c r="E1715" s="7" t="s">
        <v>17</v>
      </c>
    </row>
    <row r="1716" spans="1:5" ht="25.5">
      <c r="A1716" s="6" t="str">
        <f>HYPERLINK(SUBSTITUTE(T(hl_0),"{0}","320331560106121"),hn_0)</f>
        <v>ОВ</v>
      </c>
      <c r="B1716" s="7" t="s">
        <v>489</v>
      </c>
      <c r="C1716" s="8">
        <v>11000</v>
      </c>
      <c r="D1716" s="7" t="s">
        <v>16</v>
      </c>
      <c r="E1716" s="7" t="s">
        <v>17</v>
      </c>
    </row>
    <row r="1717" spans="1:5" ht="12.75">
      <c r="A1717" s="6" t="str">
        <f>HYPERLINK(SUBSTITUTE(T(hl_0),"{0}","900329777325031"),hn_0)</f>
        <v>ОВ</v>
      </c>
      <c r="B1717" s="7" t="s">
        <v>489</v>
      </c>
      <c r="C1717" s="8">
        <v>10000</v>
      </c>
      <c r="D1717" s="7" t="s">
        <v>11</v>
      </c>
      <c r="E1717" s="7" t="s">
        <v>20</v>
      </c>
    </row>
    <row r="1718" spans="1:5" ht="12.75">
      <c r="A1718" s="6" t="str">
        <f>HYPERLINK(SUBSTITUTE(T(hl_0),"{0}","321332652447499"),hn_0)</f>
        <v>ОВ</v>
      </c>
      <c r="B1718" s="7" t="s">
        <v>490</v>
      </c>
      <c r="C1718" s="8">
        <v>7000</v>
      </c>
      <c r="D1718" s="7" t="s">
        <v>18</v>
      </c>
      <c r="E1718" s="7" t="s">
        <v>19</v>
      </c>
    </row>
    <row r="1719" spans="1:5" ht="25.5">
      <c r="A1719" s="6" t="str">
        <f>HYPERLINK(SUBSTITUTE(T(hl_0),"{0}","320332825035159"),hn_0)</f>
        <v>ОВ</v>
      </c>
      <c r="B1719" s="7" t="s">
        <v>491</v>
      </c>
      <c r="C1719" s="8">
        <v>3566</v>
      </c>
      <c r="D1719" s="7" t="s">
        <v>16</v>
      </c>
      <c r="E1719" s="7" t="s">
        <v>17</v>
      </c>
    </row>
    <row r="1720" spans="1:5" ht="12.75">
      <c r="A1720" s="6" t="str">
        <f>HYPERLINK(SUBSTITUTE(T(hl_0),"{0}","321332733601160"),hn_0)</f>
        <v>ОВ</v>
      </c>
      <c r="B1720" s="7" t="s">
        <v>491</v>
      </c>
      <c r="C1720" s="8">
        <v>5000</v>
      </c>
      <c r="D1720" s="7" t="s">
        <v>18</v>
      </c>
      <c r="E1720" s="7" t="s">
        <v>19</v>
      </c>
    </row>
    <row r="1721" spans="1:5" ht="12.75">
      <c r="A1721" s="6" t="str">
        <f>HYPERLINK(SUBSTITUTE(T(hl_0),"{0}","324332556014529"),hn_0)</f>
        <v>ОВ</v>
      </c>
      <c r="B1721" s="7" t="s">
        <v>491</v>
      </c>
      <c r="C1721" s="8">
        <v>5000</v>
      </c>
      <c r="D1721" s="7" t="s">
        <v>237</v>
      </c>
      <c r="E1721" s="7" t="s">
        <v>190</v>
      </c>
    </row>
    <row r="1722" spans="1:5" ht="12.75">
      <c r="A1722" s="6" t="str">
        <f>HYPERLINK(SUBSTITUTE(T(hl_0),"{0}","325328346729337"),hn_0)</f>
        <v>ОВ</v>
      </c>
      <c r="B1722" s="7" t="s">
        <v>491</v>
      </c>
      <c r="C1722" s="8">
        <v>7100</v>
      </c>
      <c r="D1722" s="7" t="s">
        <v>492</v>
      </c>
      <c r="E1722" s="7" t="s">
        <v>27</v>
      </c>
    </row>
    <row r="1723" spans="1:5" ht="12.75">
      <c r="A1723" s="6" t="str">
        <f>HYPERLINK(SUBSTITUTE(T(hl_0),"{0}","327332761336524"),hn_0)</f>
        <v>ОВ</v>
      </c>
      <c r="B1723" s="7" t="s">
        <v>491</v>
      </c>
      <c r="C1723" s="8">
        <v>2500</v>
      </c>
      <c r="D1723" s="7" t="s">
        <v>493</v>
      </c>
      <c r="E1723" s="7" t="s">
        <v>12</v>
      </c>
    </row>
    <row r="1724" spans="1:5" ht="12.75">
      <c r="A1724" s="6" t="str">
        <f>HYPERLINK(SUBSTITUTE(T(hl_0),"{0}","329332529490240"),hn_0)</f>
        <v>ОВ</v>
      </c>
      <c r="B1724" s="7" t="s">
        <v>491</v>
      </c>
      <c r="C1724" s="8">
        <v>5000</v>
      </c>
      <c r="D1724" s="7" t="s">
        <v>440</v>
      </c>
      <c r="E1724" s="7" t="s">
        <v>43</v>
      </c>
    </row>
    <row r="1725" spans="1:5" ht="12.75">
      <c r="A1725" s="6" t="str">
        <f>HYPERLINK(SUBSTITUTE(T(hl_0),"{0}","331332318015182"),hn_0)</f>
        <v>ОВ</v>
      </c>
      <c r="B1725" s="7" t="s">
        <v>491</v>
      </c>
      <c r="C1725" s="8">
        <v>6000</v>
      </c>
      <c r="D1725" s="7" t="s">
        <v>494</v>
      </c>
      <c r="E1725" s="7" t="s">
        <v>195</v>
      </c>
    </row>
    <row r="1726" spans="1:5" ht="12.75">
      <c r="A1726" s="6" t="str">
        <f>HYPERLINK(SUBSTITUTE(T(hl_0),"{0}","900332195410387"),hn_0)</f>
        <v>ОВ</v>
      </c>
      <c r="B1726" s="7" t="s">
        <v>491</v>
      </c>
      <c r="C1726" s="8">
        <v>5000</v>
      </c>
      <c r="D1726" s="7" t="s">
        <v>11</v>
      </c>
      <c r="E1726" s="7" t="s">
        <v>20</v>
      </c>
    </row>
    <row r="1727" spans="1:5" ht="12.75">
      <c r="A1727" s="6" t="str">
        <f>HYPERLINK(SUBSTITUTE(T(hl_0),"{0}","900332394416033"),hn_0)</f>
        <v>ОВ</v>
      </c>
      <c r="B1727" s="7" t="s">
        <v>491</v>
      </c>
      <c r="C1727" s="8">
        <v>5500</v>
      </c>
      <c r="D1727" s="7" t="s">
        <v>11</v>
      </c>
      <c r="E1727" s="7" t="s">
        <v>20</v>
      </c>
    </row>
    <row r="1728" spans="1:5" ht="12.75">
      <c r="A1728" s="6" t="str">
        <f>HYPERLINK(SUBSTITUTE(T(hl_0),"{0}","900332503469924"),hn_0)</f>
        <v>ОВ</v>
      </c>
      <c r="B1728" s="7" t="s">
        <v>491</v>
      </c>
      <c r="C1728" s="8">
        <v>5000</v>
      </c>
      <c r="D1728" s="7" t="s">
        <v>11</v>
      </c>
      <c r="E1728" s="7" t="s">
        <v>20</v>
      </c>
    </row>
    <row r="1729" spans="1:5" ht="12.75">
      <c r="A1729" s="6" t="str">
        <f>HYPERLINK(SUBSTITUTE(T(hl_0),"{0}","900332025304993"),hn_0)</f>
        <v>ОВ</v>
      </c>
      <c r="B1729" s="7" t="s">
        <v>491</v>
      </c>
      <c r="C1729" s="8">
        <v>5000</v>
      </c>
      <c r="D1729" s="7" t="s">
        <v>11</v>
      </c>
      <c r="E1729" s="7" t="s">
        <v>20</v>
      </c>
    </row>
    <row r="1730" spans="1:5" ht="12.75">
      <c r="A1730" s="6" t="str">
        <f>HYPERLINK(SUBSTITUTE(T(hl_0),"{0}","900332555471574"),hn_0)</f>
        <v>ОВ</v>
      </c>
      <c r="B1730" s="7" t="s">
        <v>491</v>
      </c>
      <c r="C1730" s="8">
        <v>5300</v>
      </c>
      <c r="D1730" s="7" t="s">
        <v>11</v>
      </c>
      <c r="E1730" s="7" t="s">
        <v>20</v>
      </c>
    </row>
    <row r="1731" spans="1:5" ht="12.75">
      <c r="A1731" s="6" t="str">
        <f>HYPERLINK(SUBSTITUTE(T(hl_0),"{0}","900328889505289"),hn_0)</f>
        <v>ОВ</v>
      </c>
      <c r="B1731" s="7" t="s">
        <v>491</v>
      </c>
      <c r="C1731" s="8">
        <v>5000</v>
      </c>
      <c r="D1731" s="7" t="s">
        <v>11</v>
      </c>
      <c r="E1731" s="7" t="s">
        <v>20</v>
      </c>
    </row>
    <row r="1732" spans="1:5" ht="12.75">
      <c r="A1732" s="6" t="str">
        <f>HYPERLINK(SUBSTITUTE(T(hl_0),"{0}","900328889505310"),hn_0)</f>
        <v>ОВ</v>
      </c>
      <c r="B1732" s="7" t="s">
        <v>491</v>
      </c>
      <c r="C1732" s="8">
        <v>5000</v>
      </c>
      <c r="D1732" s="7" t="s">
        <v>11</v>
      </c>
      <c r="E1732" s="7" t="s">
        <v>20</v>
      </c>
    </row>
    <row r="1733" spans="1:5" ht="12.75">
      <c r="A1733" s="6" t="str">
        <f>HYPERLINK(SUBSTITUTE(T(hl_0),"{0}","900328889505319"),hn_0)</f>
        <v>ОВ</v>
      </c>
      <c r="B1733" s="7" t="s">
        <v>491</v>
      </c>
      <c r="C1733" s="8">
        <v>5000</v>
      </c>
      <c r="D1733" s="7" t="s">
        <v>11</v>
      </c>
      <c r="E1733" s="7" t="s">
        <v>20</v>
      </c>
    </row>
    <row r="1734" spans="1:5" ht="12.75">
      <c r="A1734" s="6" t="str">
        <f>HYPERLINK(SUBSTITUTE(T(hl_0),"{0}","321331339008103"),hn_0)</f>
        <v>ОВ</v>
      </c>
      <c r="B1734" s="7" t="s">
        <v>495</v>
      </c>
      <c r="C1734" s="8">
        <v>8000</v>
      </c>
      <c r="D1734" s="7" t="s">
        <v>351</v>
      </c>
      <c r="E1734" s="7" t="s">
        <v>19</v>
      </c>
    </row>
    <row r="1735" spans="1:5" ht="12.75">
      <c r="A1735" s="6" t="str">
        <f>HYPERLINK(SUBSTITUTE(T(hl_0),"{0}","321332416635964"),hn_0)</f>
        <v>ОВ</v>
      </c>
      <c r="B1735" s="7" t="s">
        <v>495</v>
      </c>
      <c r="C1735" s="8">
        <v>7000</v>
      </c>
      <c r="D1735" s="7" t="s">
        <v>18</v>
      </c>
      <c r="E1735" s="7" t="s">
        <v>19</v>
      </c>
    </row>
    <row r="1736" spans="1:5" ht="12.75">
      <c r="A1736" s="6" t="str">
        <f>HYPERLINK(SUBSTITUTE(T(hl_0),"{0}","330331365785681"),hn_0)</f>
        <v>ОВ</v>
      </c>
      <c r="B1736" s="7" t="s">
        <v>496</v>
      </c>
      <c r="C1736" s="8">
        <v>5000</v>
      </c>
      <c r="D1736" s="7" t="s">
        <v>497</v>
      </c>
      <c r="E1736" s="7" t="s">
        <v>29</v>
      </c>
    </row>
    <row r="1737" spans="1:5" ht="12.75">
      <c r="A1737" s="6" t="str">
        <f>HYPERLINK(SUBSTITUTE(T(hl_0),"{0}","330331365754487"),hn_0)</f>
        <v>ОВ</v>
      </c>
      <c r="B1737" s="7" t="s">
        <v>496</v>
      </c>
      <c r="C1737" s="8">
        <v>5000</v>
      </c>
      <c r="D1737" s="7" t="s">
        <v>237</v>
      </c>
      <c r="E1737" s="7" t="s">
        <v>29</v>
      </c>
    </row>
    <row r="1738" spans="1:5" ht="12.75">
      <c r="A1738" s="6" t="str">
        <f>HYPERLINK(SUBSTITUTE(T(hl_0),"{0}","330331365764276"),hn_0)</f>
        <v>ОВ</v>
      </c>
      <c r="B1738" s="7" t="s">
        <v>496</v>
      </c>
      <c r="C1738" s="8">
        <v>5000</v>
      </c>
      <c r="D1738" s="7" t="s">
        <v>68</v>
      </c>
      <c r="E1738" s="7" t="s">
        <v>29</v>
      </c>
    </row>
    <row r="1739" spans="1:5" ht="12.75">
      <c r="A1739" s="6" t="str">
        <f>HYPERLINK(SUBSTITUTE(T(hl_0),"{0}","330331365759086"),hn_0)</f>
        <v>ОВ</v>
      </c>
      <c r="B1739" s="7" t="s">
        <v>496</v>
      </c>
      <c r="C1739" s="8">
        <v>5000</v>
      </c>
      <c r="D1739" s="7" t="s">
        <v>57</v>
      </c>
      <c r="E1739" s="7" t="s">
        <v>29</v>
      </c>
    </row>
    <row r="1740" spans="1:5" ht="12.75">
      <c r="A1740" s="6" t="str">
        <f>HYPERLINK(SUBSTITUTE(T(hl_0),"{0}","330331365774725"),hn_0)</f>
        <v>ОВ</v>
      </c>
      <c r="B1740" s="7" t="s">
        <v>496</v>
      </c>
      <c r="C1740" s="8">
        <v>5000</v>
      </c>
      <c r="D1740" s="7" t="s">
        <v>498</v>
      </c>
      <c r="E1740" s="7" t="s">
        <v>29</v>
      </c>
    </row>
    <row r="1741" spans="1:5" ht="12.75">
      <c r="A1741" s="6" t="str">
        <f>HYPERLINK(SUBSTITUTE(T(hl_0),"{0}","330331365781472"),hn_0)</f>
        <v>ОВ</v>
      </c>
      <c r="B1741" s="7" t="s">
        <v>496</v>
      </c>
      <c r="C1741" s="8">
        <v>5000</v>
      </c>
      <c r="D1741" s="7" t="s">
        <v>499</v>
      </c>
      <c r="E1741" s="7" t="s">
        <v>29</v>
      </c>
    </row>
    <row r="1742" spans="1:5" ht="12.75">
      <c r="A1742" s="6" t="str">
        <f>HYPERLINK(SUBSTITUTE(T(hl_0),"{0}","900330163815293"),hn_0)</f>
        <v>ОВ</v>
      </c>
      <c r="B1742" s="7" t="s">
        <v>500</v>
      </c>
      <c r="C1742" s="8">
        <v>9000</v>
      </c>
      <c r="D1742" s="7" t="s">
        <v>11</v>
      </c>
      <c r="E1742" s="7" t="s">
        <v>20</v>
      </c>
    </row>
    <row r="1743" spans="1:5" ht="12.75">
      <c r="A1743" s="6" t="str">
        <f>HYPERLINK(SUBSTITUTE(T(hl_0),"{0}","900327859820595"),hn_0)</f>
        <v>ОВ</v>
      </c>
      <c r="B1743" s="7" t="s">
        <v>500</v>
      </c>
      <c r="C1743" s="8">
        <v>10295</v>
      </c>
      <c r="D1743" s="7" t="s">
        <v>18</v>
      </c>
      <c r="E1743" s="7" t="s">
        <v>20</v>
      </c>
    </row>
    <row r="1744" spans="1:5" ht="12.75">
      <c r="A1744" s="6" t="str">
        <f>HYPERLINK(SUBSTITUTE(T(hl_0),"{0}","900327859975122"),hn_0)</f>
        <v>ОВ</v>
      </c>
      <c r="B1744" s="7" t="s">
        <v>500</v>
      </c>
      <c r="C1744" s="8">
        <v>10295</v>
      </c>
      <c r="D1744" s="7" t="s">
        <v>206</v>
      </c>
      <c r="E1744" s="7" t="s">
        <v>20</v>
      </c>
    </row>
    <row r="1745" spans="1:5" ht="12.75">
      <c r="A1745" s="6" t="str">
        <f>HYPERLINK(SUBSTITUTE(T(hl_0),"{0}","326331702723095"),hn_0)</f>
        <v>ОВ</v>
      </c>
      <c r="B1745" s="7" t="s">
        <v>501</v>
      </c>
      <c r="C1745" s="8">
        <v>6000</v>
      </c>
      <c r="D1745" s="7" t="s">
        <v>206</v>
      </c>
      <c r="E1745" s="7" t="s">
        <v>40</v>
      </c>
    </row>
    <row r="1746" spans="1:5" ht="12.75">
      <c r="A1746" s="6" t="str">
        <f>HYPERLINK(SUBSTITUTE(T(hl_0),"{0}","329332583084745"),hn_0)</f>
        <v>ОВ</v>
      </c>
      <c r="B1746" s="7" t="s">
        <v>501</v>
      </c>
      <c r="C1746" s="8">
        <v>6000</v>
      </c>
      <c r="D1746" s="7" t="s">
        <v>502</v>
      </c>
      <c r="E1746" s="7" t="s">
        <v>43</v>
      </c>
    </row>
    <row r="1747" spans="1:5" ht="12.75">
      <c r="A1747" s="6" t="str">
        <f>HYPERLINK(SUBSTITUTE(T(hl_0),"{0}","329332649094555"),hn_0)</f>
        <v>ОВ</v>
      </c>
      <c r="B1747" s="7" t="s">
        <v>501</v>
      </c>
      <c r="C1747" s="8">
        <v>6000</v>
      </c>
      <c r="D1747" s="7" t="s">
        <v>502</v>
      </c>
      <c r="E1747" s="7" t="s">
        <v>43</v>
      </c>
    </row>
    <row r="1748" spans="1:5" ht="12.75">
      <c r="A1748" s="6" t="str">
        <f>HYPERLINK(SUBSTITUTE(T(hl_0),"{0}","330332585436180"),hn_0)</f>
        <v>ОВ</v>
      </c>
      <c r="B1748" s="7" t="s">
        <v>501</v>
      </c>
      <c r="C1748" s="8">
        <v>5000</v>
      </c>
      <c r="D1748" s="7" t="s">
        <v>44</v>
      </c>
      <c r="E1748" s="7" t="s">
        <v>29</v>
      </c>
    </row>
    <row r="1749" spans="1:5" ht="12.75">
      <c r="A1749" s="6" t="str">
        <f>HYPERLINK(SUBSTITUTE(T(hl_0),"{0}","330332580937254"),hn_0)</f>
        <v>ОВ</v>
      </c>
      <c r="B1749" s="7" t="s">
        <v>501</v>
      </c>
      <c r="C1749" s="8">
        <v>5000</v>
      </c>
      <c r="D1749" s="7" t="s">
        <v>44</v>
      </c>
      <c r="E1749" s="7" t="s">
        <v>29</v>
      </c>
    </row>
    <row r="1750" spans="1:5" ht="12.75">
      <c r="A1750" s="6" t="str">
        <f>HYPERLINK(SUBSTITUTE(T(hl_0),"{0}","330332580937801"),hn_0)</f>
        <v>ОВ</v>
      </c>
      <c r="B1750" s="7" t="s">
        <v>501</v>
      </c>
      <c r="C1750" s="8">
        <v>5000</v>
      </c>
      <c r="D1750" s="7" t="s">
        <v>44</v>
      </c>
      <c r="E1750" s="7" t="s">
        <v>29</v>
      </c>
    </row>
    <row r="1751" spans="1:5" ht="12.75">
      <c r="A1751" s="6" t="str">
        <f>HYPERLINK(SUBSTITUTE(T(hl_0),"{0}","330332583842720"),hn_0)</f>
        <v>ОВ</v>
      </c>
      <c r="B1751" s="7" t="s">
        <v>501</v>
      </c>
      <c r="C1751" s="8">
        <v>5000</v>
      </c>
      <c r="D1751" s="7" t="s">
        <v>44</v>
      </c>
      <c r="E1751" s="7" t="s">
        <v>29</v>
      </c>
    </row>
    <row r="1752" spans="1:5" ht="12.75">
      <c r="A1752" s="6" t="str">
        <f>HYPERLINK(SUBSTITUTE(T(hl_0),"{0}","330332585165204"),hn_0)</f>
        <v>ОВ</v>
      </c>
      <c r="B1752" s="7" t="s">
        <v>501</v>
      </c>
      <c r="C1752" s="8">
        <v>5000</v>
      </c>
      <c r="D1752" s="7" t="s">
        <v>44</v>
      </c>
      <c r="E1752" s="7" t="s">
        <v>29</v>
      </c>
    </row>
    <row r="1753" spans="1:5" ht="12.75">
      <c r="A1753" s="6" t="str">
        <f>HYPERLINK(SUBSTITUTE(T(hl_0),"{0}","330332580937244"),hn_0)</f>
        <v>ОВ</v>
      </c>
      <c r="B1753" s="7" t="s">
        <v>501</v>
      </c>
      <c r="C1753" s="8">
        <v>5000</v>
      </c>
      <c r="D1753" s="7" t="s">
        <v>44</v>
      </c>
      <c r="E1753" s="7" t="s">
        <v>29</v>
      </c>
    </row>
    <row r="1754" spans="1:5" ht="12.75">
      <c r="A1754" s="6" t="str">
        <f>HYPERLINK(SUBSTITUTE(T(hl_0),"{0}","330332580937198"),hn_0)</f>
        <v>ОВ</v>
      </c>
      <c r="B1754" s="7" t="s">
        <v>501</v>
      </c>
      <c r="C1754" s="8">
        <v>5000</v>
      </c>
      <c r="D1754" s="7" t="s">
        <v>44</v>
      </c>
      <c r="E1754" s="7" t="s">
        <v>29</v>
      </c>
    </row>
    <row r="1755" spans="1:5" ht="12.75">
      <c r="A1755" s="6" t="str">
        <f>HYPERLINK(SUBSTITUTE(T(hl_0),"{0}","330332580937780"),hn_0)</f>
        <v>ОВ</v>
      </c>
      <c r="B1755" s="7" t="s">
        <v>501</v>
      </c>
      <c r="C1755" s="8">
        <v>5000</v>
      </c>
      <c r="D1755" s="7" t="s">
        <v>44</v>
      </c>
      <c r="E1755" s="7" t="s">
        <v>29</v>
      </c>
    </row>
    <row r="1756" spans="1:5" ht="12.75">
      <c r="A1756" s="6" t="str">
        <f>HYPERLINK(SUBSTITUTE(T(hl_0),"{0}","330332580937235"),hn_0)</f>
        <v>ОВ</v>
      </c>
      <c r="B1756" s="7" t="s">
        <v>501</v>
      </c>
      <c r="C1756" s="8">
        <v>5000</v>
      </c>
      <c r="D1756" s="7" t="s">
        <v>44</v>
      </c>
      <c r="E1756" s="7" t="s">
        <v>29</v>
      </c>
    </row>
    <row r="1757" spans="1:5" ht="12.75">
      <c r="A1757" s="6" t="str">
        <f>HYPERLINK(SUBSTITUTE(T(hl_0),"{0}","330332580937792"),hn_0)</f>
        <v>ОВ</v>
      </c>
      <c r="B1757" s="7" t="s">
        <v>501</v>
      </c>
      <c r="C1757" s="8">
        <v>5000</v>
      </c>
      <c r="D1757" s="7" t="s">
        <v>44</v>
      </c>
      <c r="E1757" s="7" t="s">
        <v>29</v>
      </c>
    </row>
    <row r="1758" spans="1:5" ht="12.75">
      <c r="A1758" s="6" t="str">
        <f>HYPERLINK(SUBSTITUTE(T(hl_0),"{0}","330332556078909"),hn_0)</f>
        <v>ОВ</v>
      </c>
      <c r="B1758" s="7" t="s">
        <v>501</v>
      </c>
      <c r="C1758" s="8">
        <v>5000</v>
      </c>
      <c r="D1758" s="7" t="s">
        <v>44</v>
      </c>
      <c r="E1758" s="7" t="s">
        <v>29</v>
      </c>
    </row>
    <row r="1759" spans="1:5" ht="12.75">
      <c r="A1759" s="6" t="str">
        <f>HYPERLINK(SUBSTITUTE(T(hl_0),"{0}","900332680099489"),hn_0)</f>
        <v>ОВ</v>
      </c>
      <c r="B1759" s="7" t="s">
        <v>501</v>
      </c>
      <c r="C1759" s="8">
        <v>5000</v>
      </c>
      <c r="D1759" s="7" t="s">
        <v>11</v>
      </c>
      <c r="E1759" s="7" t="s">
        <v>20</v>
      </c>
    </row>
    <row r="1760" spans="1:5" ht="12.75">
      <c r="A1760" s="6" t="str">
        <f>HYPERLINK(SUBSTITUTE(T(hl_0),"{0}","900332557055047"),hn_0)</f>
        <v>ОВ</v>
      </c>
      <c r="B1760" s="7" t="s">
        <v>503</v>
      </c>
      <c r="C1760" s="8">
        <v>5600</v>
      </c>
      <c r="D1760" s="7" t="s">
        <v>41</v>
      </c>
      <c r="E1760" s="7" t="s">
        <v>20</v>
      </c>
    </row>
    <row r="1761" spans="1:5" ht="12.75">
      <c r="A1761" s="6" t="str">
        <f>HYPERLINK(SUBSTITUTE(T(hl_0),"{0}","319332676082477"),hn_0)</f>
        <v>ОВ</v>
      </c>
      <c r="B1761" s="7" t="s">
        <v>504</v>
      </c>
      <c r="C1761" s="8">
        <v>5000</v>
      </c>
      <c r="D1761" s="7" t="s">
        <v>14</v>
      </c>
      <c r="E1761" s="7" t="s">
        <v>15</v>
      </c>
    </row>
    <row r="1762" spans="1:5" ht="12.75">
      <c r="A1762" s="6" t="str">
        <f>HYPERLINK(SUBSTITUTE(T(hl_0),"{0}","319332676079421"),hn_0)</f>
        <v>ОВ</v>
      </c>
      <c r="B1762" s="7" t="s">
        <v>504</v>
      </c>
      <c r="C1762" s="8">
        <v>5000</v>
      </c>
      <c r="D1762" s="7" t="s">
        <v>14</v>
      </c>
      <c r="E1762" s="7" t="s">
        <v>15</v>
      </c>
    </row>
    <row r="1763" spans="1:5" ht="12.75">
      <c r="A1763" s="6" t="str">
        <f>HYPERLINK(SUBSTITUTE(T(hl_0),"{0}","900332734396674"),hn_0)</f>
        <v>ОВ</v>
      </c>
      <c r="B1763" s="7" t="s">
        <v>504</v>
      </c>
      <c r="C1763" s="8">
        <v>5000</v>
      </c>
      <c r="D1763" s="7" t="s">
        <v>53</v>
      </c>
      <c r="E1763" s="7" t="s">
        <v>20</v>
      </c>
    </row>
    <row r="1764" spans="1:5" ht="12.75">
      <c r="A1764" s="6" t="str">
        <f>HYPERLINK(SUBSTITUTE(T(hl_0),"{0}","900332148407686"),hn_0)</f>
        <v>ОВ</v>
      </c>
      <c r="B1764" s="7" t="s">
        <v>504</v>
      </c>
      <c r="C1764" s="8">
        <v>5000</v>
      </c>
      <c r="D1764" s="7" t="s">
        <v>505</v>
      </c>
      <c r="E1764" s="7" t="s">
        <v>20</v>
      </c>
    </row>
    <row r="1765" spans="1:5" ht="12.75">
      <c r="A1765" s="6" t="str">
        <f>HYPERLINK(SUBSTITUTE(T(hl_0),"{0}","900330086152326"),hn_0)</f>
        <v>ОВ</v>
      </c>
      <c r="B1765" s="7" t="s">
        <v>504</v>
      </c>
      <c r="C1765" s="8">
        <v>6250</v>
      </c>
      <c r="D1765" s="7" t="s">
        <v>11</v>
      </c>
      <c r="E1765" s="7" t="s">
        <v>20</v>
      </c>
    </row>
    <row r="1766" spans="1:5" ht="12.75">
      <c r="A1766" s="6" t="str">
        <f>HYPERLINK(SUBSTITUTE(T(hl_0),"{0}","900327941974105"),hn_0)</f>
        <v>ОВ</v>
      </c>
      <c r="B1766" s="7" t="s">
        <v>504</v>
      </c>
      <c r="C1766" s="8">
        <v>5000</v>
      </c>
      <c r="D1766" s="7" t="s">
        <v>11</v>
      </c>
      <c r="E1766" s="7" t="s">
        <v>20</v>
      </c>
    </row>
    <row r="1767" spans="1:5" ht="12.75">
      <c r="A1767" s="6" t="str">
        <f>HYPERLINK(SUBSTITUTE(T(hl_0),"{0}","321332731403254"),hn_0)</f>
        <v>ОВ</v>
      </c>
      <c r="B1767" s="7" t="s">
        <v>506</v>
      </c>
      <c r="C1767" s="8">
        <v>5000</v>
      </c>
      <c r="D1767" s="7" t="s">
        <v>18</v>
      </c>
      <c r="E1767" s="7" t="s">
        <v>19</v>
      </c>
    </row>
    <row r="1768" spans="1:5" ht="12.75">
      <c r="A1768" s="6" t="str">
        <f>HYPERLINK(SUBSTITUTE(T(hl_0),"{0}","329332341405132"),hn_0)</f>
        <v>ОВ</v>
      </c>
      <c r="B1768" s="7" t="s">
        <v>506</v>
      </c>
      <c r="C1768" s="8">
        <v>7000</v>
      </c>
      <c r="D1768" s="7" t="s">
        <v>42</v>
      </c>
      <c r="E1768" s="7" t="s">
        <v>43</v>
      </c>
    </row>
    <row r="1769" spans="1:5" ht="12.75">
      <c r="A1769" s="6" t="str">
        <f>HYPERLINK(SUBSTITUTE(T(hl_0),"{0}","900332731382117"),hn_0)</f>
        <v>ОВ</v>
      </c>
      <c r="B1769" s="7" t="s">
        <v>506</v>
      </c>
      <c r="C1769" s="8">
        <v>5000</v>
      </c>
      <c r="D1769" s="7" t="s">
        <v>11</v>
      </c>
      <c r="E1769" s="7" t="s">
        <v>20</v>
      </c>
    </row>
    <row r="1770" spans="1:5" ht="12.75">
      <c r="A1770" s="6" t="str">
        <f>HYPERLINK(SUBSTITUTE(T(hl_0),"{0}","900332394255029"),hn_0)</f>
        <v>ОВ</v>
      </c>
      <c r="B1770" s="7" t="s">
        <v>506</v>
      </c>
      <c r="C1770" s="8">
        <v>5000</v>
      </c>
      <c r="D1770" s="7" t="s">
        <v>11</v>
      </c>
      <c r="E1770" s="7" t="s">
        <v>20</v>
      </c>
    </row>
    <row r="1771" spans="1:5" ht="12.75">
      <c r="A1771" s="6" t="str">
        <f>HYPERLINK(SUBSTITUTE(T(hl_0),"{0}","900332394255029"),hn_0)</f>
        <v>ОВ</v>
      </c>
      <c r="B1771" s="7" t="s">
        <v>506</v>
      </c>
      <c r="C1771" s="8">
        <v>5000</v>
      </c>
      <c r="D1771" s="7" t="s">
        <v>11</v>
      </c>
      <c r="E1771" s="7" t="s">
        <v>20</v>
      </c>
    </row>
    <row r="1772" spans="1:5" ht="12.75">
      <c r="A1772" s="6" t="str">
        <f>HYPERLINK(SUBSTITUTE(T(hl_0),"{0}","900332394255029"),hn_0)</f>
        <v>ОВ</v>
      </c>
      <c r="B1772" s="7" t="s">
        <v>506</v>
      </c>
      <c r="C1772" s="8">
        <v>5000</v>
      </c>
      <c r="D1772" s="7" t="s">
        <v>11</v>
      </c>
      <c r="E1772" s="7" t="s">
        <v>20</v>
      </c>
    </row>
    <row r="1773" spans="1:5" ht="12.75">
      <c r="A1773" s="6" t="str">
        <f>HYPERLINK(SUBSTITUTE(T(hl_0),"{0}","900332317167794"),hn_0)</f>
        <v>ОВ</v>
      </c>
      <c r="B1773" s="7" t="s">
        <v>506</v>
      </c>
      <c r="C1773" s="8">
        <v>2510</v>
      </c>
      <c r="D1773" s="7" t="s">
        <v>206</v>
      </c>
      <c r="E1773" s="7" t="s">
        <v>20</v>
      </c>
    </row>
    <row r="1774" spans="1:5" ht="12.75">
      <c r="A1774" s="6" t="str">
        <f>HYPERLINK(SUBSTITUTE(T(hl_0),"{0}","900332317160680"),hn_0)</f>
        <v>ОВ</v>
      </c>
      <c r="B1774" s="7" t="s">
        <v>506</v>
      </c>
      <c r="C1774" s="8">
        <v>2510</v>
      </c>
      <c r="D1774" s="7" t="s">
        <v>208</v>
      </c>
      <c r="E1774" s="7" t="s">
        <v>20</v>
      </c>
    </row>
    <row r="1775" spans="1:5" ht="12.75">
      <c r="A1775" s="6" t="str">
        <f>HYPERLINK(SUBSTITUTE(T(hl_0),"{0}","900332394243428"),hn_0)</f>
        <v>ОВ</v>
      </c>
      <c r="B1775" s="7" t="s">
        <v>506</v>
      </c>
      <c r="C1775" s="8">
        <v>5000</v>
      </c>
      <c r="D1775" s="7" t="s">
        <v>11</v>
      </c>
      <c r="E1775" s="7" t="s">
        <v>20</v>
      </c>
    </row>
    <row r="1776" spans="1:5" ht="12.75">
      <c r="A1776" s="6" t="str">
        <f>HYPERLINK(SUBSTITUTE(T(hl_0),"{0}","900332394243428"),hn_0)</f>
        <v>ОВ</v>
      </c>
      <c r="B1776" s="7" t="s">
        <v>506</v>
      </c>
      <c r="C1776" s="8">
        <v>5000</v>
      </c>
      <c r="D1776" s="7" t="s">
        <v>11</v>
      </c>
      <c r="E1776" s="7" t="s">
        <v>20</v>
      </c>
    </row>
    <row r="1777" spans="1:5" ht="12.75">
      <c r="A1777" s="6" t="str">
        <f>HYPERLINK(SUBSTITUTE(T(hl_0),"{0}","900332394243428"),hn_0)</f>
        <v>ОВ</v>
      </c>
      <c r="B1777" s="7" t="s">
        <v>506</v>
      </c>
      <c r="C1777" s="8">
        <v>5000</v>
      </c>
      <c r="D1777" s="7" t="s">
        <v>11</v>
      </c>
      <c r="E1777" s="7" t="s">
        <v>20</v>
      </c>
    </row>
    <row r="1778" spans="1:5" ht="12.75">
      <c r="A1778" s="6" t="str">
        <f>HYPERLINK(SUBSTITUTE(T(hl_0),"{0}","900332317123777"),hn_0)</f>
        <v>ОВ</v>
      </c>
      <c r="B1778" s="7" t="s">
        <v>506</v>
      </c>
      <c r="C1778" s="8">
        <v>2510</v>
      </c>
      <c r="D1778" s="7" t="s">
        <v>16</v>
      </c>
      <c r="E1778" s="7" t="s">
        <v>20</v>
      </c>
    </row>
    <row r="1779" spans="1:5" ht="12.75">
      <c r="A1779" s="6" t="str">
        <f>HYPERLINK(SUBSTITUTE(T(hl_0),"{0}","900329307796306"),hn_0)</f>
        <v>ОВ</v>
      </c>
      <c r="B1779" s="7" t="s">
        <v>506</v>
      </c>
      <c r="C1779" s="8">
        <v>5000</v>
      </c>
      <c r="D1779" s="7" t="s">
        <v>101</v>
      </c>
      <c r="E1779" s="7" t="s">
        <v>20</v>
      </c>
    </row>
    <row r="1780" spans="1:5" ht="12.75">
      <c r="A1780" s="6" t="str">
        <f>HYPERLINK(SUBSTITUTE(T(hl_0),"{0}","900329307796306"),hn_0)</f>
        <v>ОВ</v>
      </c>
      <c r="B1780" s="7" t="s">
        <v>506</v>
      </c>
      <c r="C1780" s="8">
        <v>5000</v>
      </c>
      <c r="D1780" s="7" t="s">
        <v>101</v>
      </c>
      <c r="E1780" s="7" t="s">
        <v>20</v>
      </c>
    </row>
    <row r="1781" spans="1:5" ht="12.75">
      <c r="A1781" s="6" t="str">
        <f>HYPERLINK(SUBSTITUTE(T(hl_0),"{0}","900329311829436"),hn_0)</f>
        <v>ОВ</v>
      </c>
      <c r="B1781" s="7" t="s">
        <v>506</v>
      </c>
      <c r="C1781" s="8">
        <v>5000</v>
      </c>
      <c r="D1781" s="7" t="s">
        <v>75</v>
      </c>
      <c r="E1781" s="7" t="s">
        <v>20</v>
      </c>
    </row>
    <row r="1782" spans="1:5" ht="12.75">
      <c r="A1782" s="6" t="str">
        <f>HYPERLINK(SUBSTITUTE(T(hl_0),"{0}","900329311829436"),hn_0)</f>
        <v>ОВ</v>
      </c>
      <c r="B1782" s="7" t="s">
        <v>506</v>
      </c>
      <c r="C1782" s="8">
        <v>5000</v>
      </c>
      <c r="D1782" s="7" t="s">
        <v>75</v>
      </c>
      <c r="E1782" s="7" t="s">
        <v>20</v>
      </c>
    </row>
    <row r="1783" spans="1:5" ht="12.75">
      <c r="A1783" s="6" t="str">
        <f>HYPERLINK(SUBSTITUTE(T(hl_0),"{0}","900329307861123"),hn_0)</f>
        <v>ОВ</v>
      </c>
      <c r="B1783" s="7" t="s">
        <v>506</v>
      </c>
      <c r="C1783" s="8">
        <v>5000</v>
      </c>
      <c r="D1783" s="7" t="s">
        <v>92</v>
      </c>
      <c r="E1783" s="7" t="s">
        <v>20</v>
      </c>
    </row>
    <row r="1784" spans="1:5" ht="12.75">
      <c r="A1784" s="6" t="str">
        <f>HYPERLINK(SUBSTITUTE(T(hl_0),"{0}","900329307861123"),hn_0)</f>
        <v>ОВ</v>
      </c>
      <c r="B1784" s="7" t="s">
        <v>506</v>
      </c>
      <c r="C1784" s="8">
        <v>5000</v>
      </c>
      <c r="D1784" s="7" t="s">
        <v>92</v>
      </c>
      <c r="E1784" s="7" t="s">
        <v>20</v>
      </c>
    </row>
    <row r="1785" spans="1:5" ht="12.75">
      <c r="A1785" s="6" t="str">
        <f>HYPERLINK(SUBSTITUTE(T(hl_0),"{0}","900329308118873"),hn_0)</f>
        <v>ОВ</v>
      </c>
      <c r="B1785" s="7" t="s">
        <v>506</v>
      </c>
      <c r="C1785" s="8">
        <v>5000</v>
      </c>
      <c r="D1785" s="7" t="s">
        <v>71</v>
      </c>
      <c r="E1785" s="7" t="s">
        <v>20</v>
      </c>
    </row>
    <row r="1786" spans="1:5" ht="12.75">
      <c r="A1786" s="6" t="str">
        <f>HYPERLINK(SUBSTITUTE(T(hl_0),"{0}","900329308118873"),hn_0)</f>
        <v>ОВ</v>
      </c>
      <c r="B1786" s="7" t="s">
        <v>506</v>
      </c>
      <c r="C1786" s="8">
        <v>5000</v>
      </c>
      <c r="D1786" s="7" t="s">
        <v>71</v>
      </c>
      <c r="E1786" s="7" t="s">
        <v>20</v>
      </c>
    </row>
    <row r="1787" spans="1:5" ht="12.75">
      <c r="A1787" s="6" t="str">
        <f>HYPERLINK(SUBSTITUTE(T(hl_0),"{0}","900329308088566"),hn_0)</f>
        <v>ОВ</v>
      </c>
      <c r="B1787" s="7" t="s">
        <v>506</v>
      </c>
      <c r="C1787" s="8">
        <v>5000</v>
      </c>
      <c r="D1787" s="7" t="s">
        <v>165</v>
      </c>
      <c r="E1787" s="7" t="s">
        <v>20</v>
      </c>
    </row>
    <row r="1788" spans="1:5" ht="12.75">
      <c r="A1788" s="6" t="str">
        <f>HYPERLINK(SUBSTITUTE(T(hl_0),"{0}","900329308088566"),hn_0)</f>
        <v>ОВ</v>
      </c>
      <c r="B1788" s="7" t="s">
        <v>506</v>
      </c>
      <c r="C1788" s="8">
        <v>5000</v>
      </c>
      <c r="D1788" s="7" t="s">
        <v>165</v>
      </c>
      <c r="E1788" s="7" t="s">
        <v>20</v>
      </c>
    </row>
    <row r="1789" spans="1:5" ht="12.75">
      <c r="A1789" s="6" t="str">
        <f>HYPERLINK(SUBSTITUTE(T(hl_0),"{0}","900329307969450"),hn_0)</f>
        <v>ОВ</v>
      </c>
      <c r="B1789" s="7" t="s">
        <v>506</v>
      </c>
      <c r="C1789" s="8">
        <v>5000</v>
      </c>
      <c r="D1789" s="7" t="s">
        <v>79</v>
      </c>
      <c r="E1789" s="7" t="s">
        <v>20</v>
      </c>
    </row>
    <row r="1790" spans="1:5" ht="12.75">
      <c r="A1790" s="6" t="str">
        <f>HYPERLINK(SUBSTITUTE(T(hl_0),"{0}","900329307969450"),hn_0)</f>
        <v>ОВ</v>
      </c>
      <c r="B1790" s="7" t="s">
        <v>506</v>
      </c>
      <c r="C1790" s="8">
        <v>5000</v>
      </c>
      <c r="D1790" s="7" t="s">
        <v>79</v>
      </c>
      <c r="E1790" s="7" t="s">
        <v>20</v>
      </c>
    </row>
    <row r="1791" spans="1:5" ht="12.75">
      <c r="A1791" s="6" t="str">
        <f>HYPERLINK(SUBSTITUTE(T(hl_0),"{0}","900329308058506"),hn_0)</f>
        <v>ОВ</v>
      </c>
      <c r="B1791" s="7" t="s">
        <v>506</v>
      </c>
      <c r="C1791" s="8">
        <v>5000</v>
      </c>
      <c r="D1791" s="7" t="s">
        <v>80</v>
      </c>
      <c r="E1791" s="7" t="s">
        <v>20</v>
      </c>
    </row>
    <row r="1792" spans="1:5" ht="12.75">
      <c r="A1792" s="6" t="str">
        <f>HYPERLINK(SUBSTITUTE(T(hl_0),"{0}","900329308058506"),hn_0)</f>
        <v>ОВ</v>
      </c>
      <c r="B1792" s="7" t="s">
        <v>506</v>
      </c>
      <c r="C1792" s="8">
        <v>5000</v>
      </c>
      <c r="D1792" s="7" t="s">
        <v>80</v>
      </c>
      <c r="E1792" s="7" t="s">
        <v>20</v>
      </c>
    </row>
    <row r="1793" spans="1:5" ht="12.75">
      <c r="A1793" s="6" t="str">
        <f>HYPERLINK(SUBSTITUTE(T(hl_0),"{0}","900329285956905"),hn_0)</f>
        <v>ОВ</v>
      </c>
      <c r="B1793" s="7" t="s">
        <v>506</v>
      </c>
      <c r="C1793" s="8">
        <v>5000</v>
      </c>
      <c r="D1793" s="7" t="s">
        <v>507</v>
      </c>
      <c r="E1793" s="7" t="s">
        <v>20</v>
      </c>
    </row>
    <row r="1794" spans="1:5" ht="12.75">
      <c r="A1794" s="6" t="str">
        <f>HYPERLINK(SUBSTITUTE(T(hl_0),"{0}","900329285956905"),hn_0)</f>
        <v>ОВ</v>
      </c>
      <c r="B1794" s="7" t="s">
        <v>506</v>
      </c>
      <c r="C1794" s="8">
        <v>5000</v>
      </c>
      <c r="D1794" s="7" t="s">
        <v>507</v>
      </c>
      <c r="E1794" s="7" t="s">
        <v>20</v>
      </c>
    </row>
    <row r="1795" spans="1:5" ht="12.75">
      <c r="A1795" s="6" t="str">
        <f>HYPERLINK(SUBSTITUTE(T(hl_0),"{0}","900329307892259"),hn_0)</f>
        <v>ОВ</v>
      </c>
      <c r="B1795" s="7" t="s">
        <v>506</v>
      </c>
      <c r="C1795" s="8">
        <v>5000</v>
      </c>
      <c r="D1795" s="7" t="s">
        <v>77</v>
      </c>
      <c r="E1795" s="7" t="s">
        <v>20</v>
      </c>
    </row>
    <row r="1796" spans="1:5" ht="12.75">
      <c r="A1796" s="6" t="str">
        <f>HYPERLINK(SUBSTITUTE(T(hl_0),"{0}","900329307892259"),hn_0)</f>
        <v>ОВ</v>
      </c>
      <c r="B1796" s="7" t="s">
        <v>506</v>
      </c>
      <c r="C1796" s="8">
        <v>5000</v>
      </c>
      <c r="D1796" s="7" t="s">
        <v>77</v>
      </c>
      <c r="E1796" s="7" t="s">
        <v>20</v>
      </c>
    </row>
    <row r="1797" spans="1:5" ht="12.75">
      <c r="A1797" s="6" t="str">
        <f>HYPERLINK(SUBSTITUTE(T(hl_0),"{0}","900327618975041"),hn_0)</f>
        <v>ОВ</v>
      </c>
      <c r="B1797" s="7" t="s">
        <v>506</v>
      </c>
      <c r="C1797" s="8">
        <v>5000</v>
      </c>
      <c r="D1797" s="7" t="s">
        <v>165</v>
      </c>
      <c r="E1797" s="7" t="s">
        <v>20</v>
      </c>
    </row>
    <row r="1798" spans="1:5" ht="12.75">
      <c r="A1798" s="6" t="str">
        <f>HYPERLINK(SUBSTITUTE(T(hl_0),"{0}","900327618975041"),hn_0)</f>
        <v>ОВ</v>
      </c>
      <c r="B1798" s="7" t="s">
        <v>506</v>
      </c>
      <c r="C1798" s="8">
        <v>5000</v>
      </c>
      <c r="D1798" s="7" t="s">
        <v>165</v>
      </c>
      <c r="E1798" s="7" t="s">
        <v>20</v>
      </c>
    </row>
    <row r="1799" spans="1:5" ht="12.75">
      <c r="A1799" s="6" t="str">
        <f>HYPERLINK(SUBSTITUTE(T(hl_0),"{0}","900327362731297"),hn_0)</f>
        <v>ОВ</v>
      </c>
      <c r="B1799" s="7" t="s">
        <v>506</v>
      </c>
      <c r="C1799" s="8">
        <v>5000</v>
      </c>
      <c r="D1799" s="7" t="s">
        <v>169</v>
      </c>
      <c r="E1799" s="7" t="s">
        <v>20</v>
      </c>
    </row>
    <row r="1800" spans="1:5" ht="12.75">
      <c r="A1800" s="6" t="str">
        <f>HYPERLINK(SUBSTITUTE(T(hl_0),"{0}","900327362731297"),hn_0)</f>
        <v>ОВ</v>
      </c>
      <c r="B1800" s="7" t="s">
        <v>506</v>
      </c>
      <c r="C1800" s="8">
        <v>5000</v>
      </c>
      <c r="D1800" s="7" t="s">
        <v>169</v>
      </c>
      <c r="E1800" s="7" t="s">
        <v>20</v>
      </c>
    </row>
    <row r="1801" spans="1:5" ht="12.75">
      <c r="A1801" s="6" t="str">
        <f>HYPERLINK(SUBSTITUTE(T(hl_0),"{0}","900327597121682"),hn_0)</f>
        <v>ОВ</v>
      </c>
      <c r="B1801" s="7" t="s">
        <v>506</v>
      </c>
      <c r="C1801" s="8">
        <v>5000</v>
      </c>
      <c r="D1801" s="7" t="s">
        <v>140</v>
      </c>
      <c r="E1801" s="7" t="s">
        <v>20</v>
      </c>
    </row>
    <row r="1802" spans="1:5" ht="12.75">
      <c r="A1802" s="6" t="str">
        <f>HYPERLINK(SUBSTITUTE(T(hl_0),"{0}","900327597121682"),hn_0)</f>
        <v>ОВ</v>
      </c>
      <c r="B1802" s="7" t="s">
        <v>506</v>
      </c>
      <c r="C1802" s="8">
        <v>5000</v>
      </c>
      <c r="D1802" s="7" t="s">
        <v>140</v>
      </c>
      <c r="E1802" s="7" t="s">
        <v>20</v>
      </c>
    </row>
    <row r="1803" spans="1:5" ht="12.75">
      <c r="A1803" s="6" t="str">
        <f>HYPERLINK(SUBSTITUTE(T(hl_0),"{0}","900327618915260"),hn_0)</f>
        <v>ОВ</v>
      </c>
      <c r="B1803" s="7" t="s">
        <v>506</v>
      </c>
      <c r="C1803" s="8">
        <v>5000</v>
      </c>
      <c r="D1803" s="7" t="s">
        <v>80</v>
      </c>
      <c r="E1803" s="7" t="s">
        <v>20</v>
      </c>
    </row>
    <row r="1804" spans="1:5" ht="12.75">
      <c r="A1804" s="6" t="str">
        <f>HYPERLINK(SUBSTITUTE(T(hl_0),"{0}","900327618915260"),hn_0)</f>
        <v>ОВ</v>
      </c>
      <c r="B1804" s="7" t="s">
        <v>506</v>
      </c>
      <c r="C1804" s="8">
        <v>5000</v>
      </c>
      <c r="D1804" s="7" t="s">
        <v>80</v>
      </c>
      <c r="E1804" s="7" t="s">
        <v>20</v>
      </c>
    </row>
    <row r="1805" spans="1:5" ht="12.75">
      <c r="A1805" s="6" t="str">
        <f>HYPERLINK(SUBSTITUTE(T(hl_0),"{0}","900327618927956"),hn_0)</f>
        <v>ОВ</v>
      </c>
      <c r="B1805" s="7" t="s">
        <v>506</v>
      </c>
      <c r="C1805" s="8">
        <v>5000</v>
      </c>
      <c r="D1805" s="7" t="s">
        <v>81</v>
      </c>
      <c r="E1805" s="7" t="s">
        <v>20</v>
      </c>
    </row>
    <row r="1806" spans="1:5" ht="12.75">
      <c r="A1806" s="6" t="str">
        <f>HYPERLINK(SUBSTITUTE(T(hl_0),"{0}","900327618927956"),hn_0)</f>
        <v>ОВ</v>
      </c>
      <c r="B1806" s="7" t="s">
        <v>506</v>
      </c>
      <c r="C1806" s="8">
        <v>5000</v>
      </c>
      <c r="D1806" s="7" t="s">
        <v>81</v>
      </c>
      <c r="E1806" s="7" t="s">
        <v>20</v>
      </c>
    </row>
    <row r="1807" spans="1:5" ht="12.75">
      <c r="A1807" s="6" t="str">
        <f>HYPERLINK(SUBSTITUTE(T(hl_0),"{0}","900327618945945"),hn_0)</f>
        <v>ОВ</v>
      </c>
      <c r="B1807" s="7" t="s">
        <v>506</v>
      </c>
      <c r="C1807" s="8">
        <v>5000</v>
      </c>
      <c r="D1807" s="7" t="s">
        <v>106</v>
      </c>
      <c r="E1807" s="7" t="s">
        <v>20</v>
      </c>
    </row>
    <row r="1808" spans="1:5" ht="12.75">
      <c r="A1808" s="6" t="str">
        <f>HYPERLINK(SUBSTITUTE(T(hl_0),"{0}","900327618945945"),hn_0)</f>
        <v>ОВ</v>
      </c>
      <c r="B1808" s="7" t="s">
        <v>506</v>
      </c>
      <c r="C1808" s="8">
        <v>5000</v>
      </c>
      <c r="D1808" s="7" t="s">
        <v>106</v>
      </c>
      <c r="E1808" s="7" t="s">
        <v>20</v>
      </c>
    </row>
    <row r="1809" spans="1:5" ht="12.75">
      <c r="A1809" s="6" t="str">
        <f>HYPERLINK(SUBSTITUTE(T(hl_0),"{0}","900327597225881"),hn_0)</f>
        <v>ОВ</v>
      </c>
      <c r="B1809" s="7" t="s">
        <v>506</v>
      </c>
      <c r="C1809" s="8">
        <v>5000</v>
      </c>
      <c r="D1809" s="7" t="s">
        <v>122</v>
      </c>
      <c r="E1809" s="7" t="s">
        <v>20</v>
      </c>
    </row>
    <row r="1810" spans="1:5" ht="12.75">
      <c r="A1810" s="6" t="str">
        <f>HYPERLINK(SUBSTITUTE(T(hl_0),"{0}","900327597225881"),hn_0)</f>
        <v>ОВ</v>
      </c>
      <c r="B1810" s="7" t="s">
        <v>506</v>
      </c>
      <c r="C1810" s="8">
        <v>5000</v>
      </c>
      <c r="D1810" s="7" t="s">
        <v>122</v>
      </c>
      <c r="E1810" s="7" t="s">
        <v>20</v>
      </c>
    </row>
    <row r="1811" spans="1:5" ht="12.75">
      <c r="A1811" s="6" t="str">
        <f>HYPERLINK(SUBSTITUTE(T(hl_0),"{0}","900327535446590"),hn_0)</f>
        <v>ОВ</v>
      </c>
      <c r="B1811" s="7" t="s">
        <v>506</v>
      </c>
      <c r="C1811" s="8">
        <v>5000</v>
      </c>
      <c r="D1811" s="7" t="s">
        <v>508</v>
      </c>
      <c r="E1811" s="7" t="s">
        <v>20</v>
      </c>
    </row>
    <row r="1812" spans="1:5" ht="12.75">
      <c r="A1812" s="6" t="str">
        <f>HYPERLINK(SUBSTITUTE(T(hl_0),"{0}","900327535446590"),hn_0)</f>
        <v>ОВ</v>
      </c>
      <c r="B1812" s="7" t="s">
        <v>506</v>
      </c>
      <c r="C1812" s="8">
        <v>5000</v>
      </c>
      <c r="D1812" s="7" t="s">
        <v>508</v>
      </c>
      <c r="E1812" s="7" t="s">
        <v>20</v>
      </c>
    </row>
    <row r="1813" spans="1:5" ht="12.75">
      <c r="A1813" s="6" t="str">
        <f>HYPERLINK(SUBSTITUTE(T(hl_0),"{0}","900327362693367"),hn_0)</f>
        <v>ОВ</v>
      </c>
      <c r="B1813" s="7" t="s">
        <v>506</v>
      </c>
      <c r="C1813" s="8">
        <v>5000</v>
      </c>
      <c r="D1813" s="7" t="s">
        <v>509</v>
      </c>
      <c r="E1813" s="7" t="s">
        <v>20</v>
      </c>
    </row>
    <row r="1814" spans="1:5" ht="12.75">
      <c r="A1814" s="6" t="str">
        <f>HYPERLINK(SUBSTITUTE(T(hl_0),"{0}","900327362693367"),hn_0)</f>
        <v>ОВ</v>
      </c>
      <c r="B1814" s="7" t="s">
        <v>506</v>
      </c>
      <c r="C1814" s="8">
        <v>5000</v>
      </c>
      <c r="D1814" s="7" t="s">
        <v>509</v>
      </c>
      <c r="E1814" s="7" t="s">
        <v>20</v>
      </c>
    </row>
    <row r="1815" spans="1:5" ht="12.75">
      <c r="A1815" s="6" t="str">
        <f>HYPERLINK(SUBSTITUTE(T(hl_0),"{0}","900327599060947"),hn_0)</f>
        <v>ОВ</v>
      </c>
      <c r="B1815" s="7" t="s">
        <v>506</v>
      </c>
      <c r="C1815" s="8">
        <v>5000</v>
      </c>
      <c r="D1815" s="7" t="s">
        <v>163</v>
      </c>
      <c r="E1815" s="7" t="s">
        <v>20</v>
      </c>
    </row>
    <row r="1816" spans="1:5" ht="12.75">
      <c r="A1816" s="6" t="str">
        <f>HYPERLINK(SUBSTITUTE(T(hl_0),"{0}","900327599060947"),hn_0)</f>
        <v>ОВ</v>
      </c>
      <c r="B1816" s="7" t="s">
        <v>506</v>
      </c>
      <c r="C1816" s="8">
        <v>5000</v>
      </c>
      <c r="D1816" s="7" t="s">
        <v>163</v>
      </c>
      <c r="E1816" s="7" t="s">
        <v>20</v>
      </c>
    </row>
    <row r="1817" spans="1:5" ht="12.75">
      <c r="A1817" s="6" t="str">
        <f>HYPERLINK(SUBSTITUTE(T(hl_0),"{0}","900327597088107"),hn_0)</f>
        <v>ОВ</v>
      </c>
      <c r="B1817" s="7" t="s">
        <v>506</v>
      </c>
      <c r="C1817" s="8">
        <v>5000</v>
      </c>
      <c r="D1817" s="7" t="s">
        <v>507</v>
      </c>
      <c r="E1817" s="7" t="s">
        <v>20</v>
      </c>
    </row>
    <row r="1818" spans="1:5" ht="12.75">
      <c r="A1818" s="6" t="str">
        <f>HYPERLINK(SUBSTITUTE(T(hl_0),"{0}","900327597088107"),hn_0)</f>
        <v>ОВ</v>
      </c>
      <c r="B1818" s="7" t="s">
        <v>506</v>
      </c>
      <c r="C1818" s="8">
        <v>5000</v>
      </c>
      <c r="D1818" s="7" t="s">
        <v>507</v>
      </c>
      <c r="E1818" s="7" t="s">
        <v>20</v>
      </c>
    </row>
    <row r="1819" spans="1:5" ht="12.75">
      <c r="A1819" s="6" t="str">
        <f>HYPERLINK(SUBSTITUTE(T(hl_0),"{0}","900327618906658"),hn_0)</f>
        <v>ОВ</v>
      </c>
      <c r="B1819" s="7" t="s">
        <v>506</v>
      </c>
      <c r="C1819" s="8">
        <v>5000</v>
      </c>
      <c r="D1819" s="7" t="s">
        <v>92</v>
      </c>
      <c r="E1819" s="7" t="s">
        <v>20</v>
      </c>
    </row>
    <row r="1820" spans="1:5" ht="12.75">
      <c r="A1820" s="6" t="str">
        <f>HYPERLINK(SUBSTITUTE(T(hl_0),"{0}","900327618906658"),hn_0)</f>
        <v>ОВ</v>
      </c>
      <c r="B1820" s="7" t="s">
        <v>506</v>
      </c>
      <c r="C1820" s="8">
        <v>5000</v>
      </c>
      <c r="D1820" s="7" t="s">
        <v>92</v>
      </c>
      <c r="E1820" s="7" t="s">
        <v>20</v>
      </c>
    </row>
    <row r="1821" spans="1:5" ht="12.75">
      <c r="A1821" s="6" t="str">
        <f>HYPERLINK(SUBSTITUTE(T(hl_0),"{0}","900327535431885"),hn_0)</f>
        <v>ОВ</v>
      </c>
      <c r="B1821" s="7" t="s">
        <v>506</v>
      </c>
      <c r="C1821" s="8">
        <v>5000</v>
      </c>
      <c r="D1821" s="7" t="s">
        <v>97</v>
      </c>
      <c r="E1821" s="7" t="s">
        <v>20</v>
      </c>
    </row>
    <row r="1822" spans="1:5" ht="12.75">
      <c r="A1822" s="6" t="str">
        <f>HYPERLINK(SUBSTITUTE(T(hl_0),"{0}","900327535431885"),hn_0)</f>
        <v>ОВ</v>
      </c>
      <c r="B1822" s="7" t="s">
        <v>506</v>
      </c>
      <c r="C1822" s="8">
        <v>5000</v>
      </c>
      <c r="D1822" s="7" t="s">
        <v>97</v>
      </c>
      <c r="E1822" s="7" t="s">
        <v>20</v>
      </c>
    </row>
    <row r="1823" spans="1:5" ht="12.75">
      <c r="A1823" s="6" t="str">
        <f>HYPERLINK(SUBSTITUTE(T(hl_0),"{0}","900327487556102"),hn_0)</f>
        <v>ОВ</v>
      </c>
      <c r="B1823" s="7" t="s">
        <v>506</v>
      </c>
      <c r="C1823" s="8">
        <v>5000</v>
      </c>
      <c r="D1823" s="7" t="s">
        <v>94</v>
      </c>
      <c r="E1823" s="7" t="s">
        <v>20</v>
      </c>
    </row>
    <row r="1824" spans="1:5" ht="12.75">
      <c r="A1824" s="6" t="str">
        <f>HYPERLINK(SUBSTITUTE(T(hl_0),"{0}","900327487556102"),hn_0)</f>
        <v>ОВ</v>
      </c>
      <c r="B1824" s="7" t="s">
        <v>506</v>
      </c>
      <c r="C1824" s="8">
        <v>5000</v>
      </c>
      <c r="D1824" s="7" t="s">
        <v>94</v>
      </c>
      <c r="E1824" s="7" t="s">
        <v>20</v>
      </c>
    </row>
    <row r="1825" spans="1:5" ht="12.75">
      <c r="A1825" s="6" t="str">
        <f>HYPERLINK(SUBSTITUTE(T(hl_0),"{0}","900327487595608"),hn_0)</f>
        <v>ОВ</v>
      </c>
      <c r="B1825" s="7" t="s">
        <v>506</v>
      </c>
      <c r="C1825" s="8">
        <v>5000</v>
      </c>
      <c r="D1825" s="7" t="s">
        <v>94</v>
      </c>
      <c r="E1825" s="7" t="s">
        <v>20</v>
      </c>
    </row>
    <row r="1826" spans="1:5" ht="12.75">
      <c r="A1826" s="6" t="str">
        <f>HYPERLINK(SUBSTITUTE(T(hl_0),"{0}","900327487595608"),hn_0)</f>
        <v>ОВ</v>
      </c>
      <c r="B1826" s="7" t="s">
        <v>506</v>
      </c>
      <c r="C1826" s="8">
        <v>5000</v>
      </c>
      <c r="D1826" s="7" t="s">
        <v>94</v>
      </c>
      <c r="E1826" s="7" t="s">
        <v>20</v>
      </c>
    </row>
    <row r="1827" spans="1:5" ht="12.75">
      <c r="A1827" s="6" t="str">
        <f>HYPERLINK(SUBSTITUTE(T(hl_0),"{0}","900327536084368"),hn_0)</f>
        <v>ОВ</v>
      </c>
      <c r="B1827" s="7" t="s">
        <v>506</v>
      </c>
      <c r="C1827" s="8">
        <v>5000</v>
      </c>
      <c r="D1827" s="7" t="s">
        <v>174</v>
      </c>
      <c r="E1827" s="7" t="s">
        <v>20</v>
      </c>
    </row>
    <row r="1828" spans="1:5" ht="12.75">
      <c r="A1828" s="6" t="str">
        <f>HYPERLINK(SUBSTITUTE(T(hl_0),"{0}","900327536084368"),hn_0)</f>
        <v>ОВ</v>
      </c>
      <c r="B1828" s="7" t="s">
        <v>506</v>
      </c>
      <c r="C1828" s="8">
        <v>5000</v>
      </c>
      <c r="D1828" s="7" t="s">
        <v>174</v>
      </c>
      <c r="E1828" s="7" t="s">
        <v>20</v>
      </c>
    </row>
    <row r="1829" spans="1:5" ht="12.75">
      <c r="A1829" s="6" t="str">
        <f>HYPERLINK(SUBSTITUTE(T(hl_0),"{0}","900327618910335"),hn_0)</f>
        <v>ОВ</v>
      </c>
      <c r="B1829" s="7" t="s">
        <v>506</v>
      </c>
      <c r="C1829" s="8">
        <v>5000</v>
      </c>
      <c r="D1829" s="7" t="s">
        <v>104</v>
      </c>
      <c r="E1829" s="7" t="s">
        <v>20</v>
      </c>
    </row>
    <row r="1830" spans="1:5" ht="12.75">
      <c r="A1830" s="6" t="str">
        <f>HYPERLINK(SUBSTITUTE(T(hl_0),"{0}","900327618910335"),hn_0)</f>
        <v>ОВ</v>
      </c>
      <c r="B1830" s="7" t="s">
        <v>506</v>
      </c>
      <c r="C1830" s="8">
        <v>5000</v>
      </c>
      <c r="D1830" s="7" t="s">
        <v>104</v>
      </c>
      <c r="E1830" s="7" t="s">
        <v>20</v>
      </c>
    </row>
    <row r="1831" spans="1:5" ht="12.75">
      <c r="A1831" s="6" t="str">
        <f>HYPERLINK(SUBSTITUTE(T(hl_0),"{0}","900327513049386"),hn_0)</f>
        <v>ОВ</v>
      </c>
      <c r="B1831" s="7" t="s">
        <v>506</v>
      </c>
      <c r="C1831" s="8">
        <v>5000</v>
      </c>
      <c r="D1831" s="7" t="s">
        <v>95</v>
      </c>
      <c r="E1831" s="7" t="s">
        <v>20</v>
      </c>
    </row>
    <row r="1832" spans="1:5" ht="12.75">
      <c r="A1832" s="6" t="str">
        <f>HYPERLINK(SUBSTITUTE(T(hl_0),"{0}","900327513049386"),hn_0)</f>
        <v>ОВ</v>
      </c>
      <c r="B1832" s="7" t="s">
        <v>506</v>
      </c>
      <c r="C1832" s="8">
        <v>5000</v>
      </c>
      <c r="D1832" s="7" t="s">
        <v>95</v>
      </c>
      <c r="E1832" s="7" t="s">
        <v>20</v>
      </c>
    </row>
    <row r="1833" spans="1:5" ht="12.75">
      <c r="A1833" s="6" t="str">
        <f>HYPERLINK(SUBSTITUTE(T(hl_0),"{0}","900327618931666"),hn_0)</f>
        <v>ОВ</v>
      </c>
      <c r="B1833" s="7" t="s">
        <v>506</v>
      </c>
      <c r="C1833" s="8">
        <v>5000</v>
      </c>
      <c r="D1833" s="7" t="s">
        <v>92</v>
      </c>
      <c r="E1833" s="7" t="s">
        <v>20</v>
      </c>
    </row>
    <row r="1834" spans="1:5" ht="12.75">
      <c r="A1834" s="6" t="str">
        <f>HYPERLINK(SUBSTITUTE(T(hl_0),"{0}","900327618931666"),hn_0)</f>
        <v>ОВ</v>
      </c>
      <c r="B1834" s="7" t="s">
        <v>506</v>
      </c>
      <c r="C1834" s="8">
        <v>5000</v>
      </c>
      <c r="D1834" s="7" t="s">
        <v>92</v>
      </c>
      <c r="E1834" s="7" t="s">
        <v>20</v>
      </c>
    </row>
    <row r="1835" spans="1:5" ht="12.75">
      <c r="A1835" s="6" t="str">
        <f>HYPERLINK(SUBSTITUTE(T(hl_0),"{0}","900327597146433"),hn_0)</f>
        <v>ОВ</v>
      </c>
      <c r="B1835" s="7" t="s">
        <v>506</v>
      </c>
      <c r="C1835" s="8">
        <v>5000</v>
      </c>
      <c r="D1835" s="7" t="s">
        <v>168</v>
      </c>
      <c r="E1835" s="7" t="s">
        <v>20</v>
      </c>
    </row>
    <row r="1836" spans="1:5" ht="12.75">
      <c r="A1836" s="6" t="str">
        <f>HYPERLINK(SUBSTITUTE(T(hl_0),"{0}","900327597146433"),hn_0)</f>
        <v>ОВ</v>
      </c>
      <c r="B1836" s="7" t="s">
        <v>506</v>
      </c>
      <c r="C1836" s="8">
        <v>5000</v>
      </c>
      <c r="D1836" s="7" t="s">
        <v>168</v>
      </c>
      <c r="E1836" s="7" t="s">
        <v>20</v>
      </c>
    </row>
    <row r="1837" spans="1:5" ht="12.75">
      <c r="A1837" s="6" t="str">
        <f>HYPERLINK(SUBSTITUTE(T(hl_0),"{0}","900327362901942"),hn_0)</f>
        <v>ОВ</v>
      </c>
      <c r="B1837" s="7" t="s">
        <v>506</v>
      </c>
      <c r="C1837" s="8">
        <v>5000</v>
      </c>
      <c r="D1837" s="7" t="s">
        <v>510</v>
      </c>
      <c r="E1837" s="7" t="s">
        <v>20</v>
      </c>
    </row>
    <row r="1838" spans="1:5" ht="12.75">
      <c r="A1838" s="6" t="str">
        <f>HYPERLINK(SUBSTITUTE(T(hl_0),"{0}","900327362901942"),hn_0)</f>
        <v>ОВ</v>
      </c>
      <c r="B1838" s="7" t="s">
        <v>506</v>
      </c>
      <c r="C1838" s="8">
        <v>5000</v>
      </c>
      <c r="D1838" s="7" t="s">
        <v>510</v>
      </c>
      <c r="E1838" s="7" t="s">
        <v>20</v>
      </c>
    </row>
    <row r="1839" spans="1:5" ht="12.75">
      <c r="A1839" s="6" t="str">
        <f>HYPERLINK(SUBSTITUTE(T(hl_0),"{0}","900327597132907"),hn_0)</f>
        <v>ОВ</v>
      </c>
      <c r="B1839" s="7" t="s">
        <v>506</v>
      </c>
      <c r="C1839" s="8">
        <v>5000</v>
      </c>
      <c r="D1839" s="7" t="s">
        <v>511</v>
      </c>
      <c r="E1839" s="7" t="s">
        <v>20</v>
      </c>
    </row>
    <row r="1840" spans="1:5" ht="12.75">
      <c r="A1840" s="6" t="str">
        <f>HYPERLINK(SUBSTITUTE(T(hl_0),"{0}","900327597132907"),hn_0)</f>
        <v>ОВ</v>
      </c>
      <c r="B1840" s="7" t="s">
        <v>506</v>
      </c>
      <c r="C1840" s="8">
        <v>5000</v>
      </c>
      <c r="D1840" s="7" t="s">
        <v>511</v>
      </c>
      <c r="E1840" s="7" t="s">
        <v>20</v>
      </c>
    </row>
    <row r="1841" spans="1:5" ht="12.75">
      <c r="A1841" s="6" t="str">
        <f>HYPERLINK(SUBSTITUTE(T(hl_0),"{0}","900327487998561"),hn_0)</f>
        <v>ОВ</v>
      </c>
      <c r="B1841" s="7" t="s">
        <v>506</v>
      </c>
      <c r="C1841" s="8">
        <v>5000</v>
      </c>
      <c r="D1841" s="7" t="s">
        <v>141</v>
      </c>
      <c r="E1841" s="7" t="s">
        <v>20</v>
      </c>
    </row>
    <row r="1842" spans="1:5" ht="12.75">
      <c r="A1842" s="6" t="str">
        <f>HYPERLINK(SUBSTITUTE(T(hl_0),"{0}","900327487998561"),hn_0)</f>
        <v>ОВ</v>
      </c>
      <c r="B1842" s="7" t="s">
        <v>506</v>
      </c>
      <c r="C1842" s="8">
        <v>5000</v>
      </c>
      <c r="D1842" s="7" t="s">
        <v>141</v>
      </c>
      <c r="E1842" s="7" t="s">
        <v>20</v>
      </c>
    </row>
    <row r="1843" spans="1:5" ht="12.75">
      <c r="A1843" s="6" t="str">
        <f>HYPERLINK(SUBSTITUTE(T(hl_0),"{0}","900327618952015"),hn_0)</f>
        <v>ОВ</v>
      </c>
      <c r="B1843" s="7" t="s">
        <v>506</v>
      </c>
      <c r="C1843" s="8">
        <v>5000</v>
      </c>
      <c r="D1843" s="7" t="s">
        <v>99</v>
      </c>
      <c r="E1843" s="7" t="s">
        <v>20</v>
      </c>
    </row>
    <row r="1844" spans="1:5" ht="12.75">
      <c r="A1844" s="6" t="str">
        <f>HYPERLINK(SUBSTITUTE(T(hl_0),"{0}","900327618952015"),hn_0)</f>
        <v>ОВ</v>
      </c>
      <c r="B1844" s="7" t="s">
        <v>506</v>
      </c>
      <c r="C1844" s="8">
        <v>5000</v>
      </c>
      <c r="D1844" s="7" t="s">
        <v>99</v>
      </c>
      <c r="E1844" s="7" t="s">
        <v>20</v>
      </c>
    </row>
    <row r="1845" spans="1:5" ht="12.75">
      <c r="A1845" s="6" t="str">
        <f>HYPERLINK(SUBSTITUTE(T(hl_0),"{0}","900327535454831"),hn_0)</f>
        <v>ОВ</v>
      </c>
      <c r="B1845" s="7" t="s">
        <v>506</v>
      </c>
      <c r="C1845" s="8">
        <v>5000</v>
      </c>
      <c r="D1845" s="7" t="s">
        <v>125</v>
      </c>
      <c r="E1845" s="7" t="s">
        <v>20</v>
      </c>
    </row>
    <row r="1846" spans="1:5" ht="12.75">
      <c r="A1846" s="6" t="str">
        <f>HYPERLINK(SUBSTITUTE(T(hl_0),"{0}","900327535454831"),hn_0)</f>
        <v>ОВ</v>
      </c>
      <c r="B1846" s="7" t="s">
        <v>506</v>
      </c>
      <c r="C1846" s="8">
        <v>5000</v>
      </c>
      <c r="D1846" s="7" t="s">
        <v>125</v>
      </c>
      <c r="E1846" s="7" t="s">
        <v>20</v>
      </c>
    </row>
    <row r="1847" spans="1:5" ht="12.75">
      <c r="A1847" s="6" t="str">
        <f>HYPERLINK(SUBSTITUTE(T(hl_0),"{0}","900327487506097"),hn_0)</f>
        <v>ОВ</v>
      </c>
      <c r="B1847" s="7" t="s">
        <v>506</v>
      </c>
      <c r="C1847" s="8">
        <v>5000</v>
      </c>
      <c r="D1847" s="7" t="s">
        <v>126</v>
      </c>
      <c r="E1847" s="7" t="s">
        <v>20</v>
      </c>
    </row>
    <row r="1848" spans="1:5" ht="12.75">
      <c r="A1848" s="6" t="str">
        <f>HYPERLINK(SUBSTITUTE(T(hl_0),"{0}","900327487506097"),hn_0)</f>
        <v>ОВ</v>
      </c>
      <c r="B1848" s="7" t="s">
        <v>506</v>
      </c>
      <c r="C1848" s="8">
        <v>5000</v>
      </c>
      <c r="D1848" s="7" t="s">
        <v>126</v>
      </c>
      <c r="E1848" s="7" t="s">
        <v>20</v>
      </c>
    </row>
    <row r="1849" spans="1:5" ht="12.75">
      <c r="A1849" s="6" t="str">
        <f>HYPERLINK(SUBSTITUTE(T(hl_0),"{0}","900327920255346"),hn_0)</f>
        <v>ОВ</v>
      </c>
      <c r="B1849" s="7" t="s">
        <v>506</v>
      </c>
      <c r="C1849" s="8">
        <v>5000</v>
      </c>
      <c r="D1849" s="7" t="s">
        <v>11</v>
      </c>
      <c r="E1849" s="7" t="s">
        <v>20</v>
      </c>
    </row>
    <row r="1850" spans="1:5" ht="12.75">
      <c r="A1850" s="6" t="str">
        <f>HYPERLINK(SUBSTITUTE(T(hl_0),"{0}","327331023267614"),hn_0)</f>
        <v>ОВ</v>
      </c>
      <c r="B1850" s="7" t="s">
        <v>512</v>
      </c>
      <c r="C1850" s="8">
        <v>8000</v>
      </c>
      <c r="D1850" s="7" t="s">
        <v>53</v>
      </c>
      <c r="E1850" s="7" t="s">
        <v>12</v>
      </c>
    </row>
    <row r="1851" spans="1:5" ht="12.75">
      <c r="A1851" s="6" t="str">
        <f>HYPERLINK(SUBSTITUTE(T(hl_0),"{0}","322332760265845"),hn_0)</f>
        <v>ОВ</v>
      </c>
      <c r="B1851" s="7" t="s">
        <v>513</v>
      </c>
      <c r="C1851" s="8">
        <v>5000</v>
      </c>
      <c r="D1851" s="7" t="s">
        <v>36</v>
      </c>
      <c r="E1851" s="7" t="s">
        <v>47</v>
      </c>
    </row>
    <row r="1852" spans="1:5" ht="12.75">
      <c r="A1852" s="6" t="str">
        <f>HYPERLINK(SUBSTITUTE(T(hl_0),"{0}","325332143629962"),hn_0)</f>
        <v>ОВ</v>
      </c>
      <c r="B1852" s="7" t="s">
        <v>513</v>
      </c>
      <c r="C1852" s="8">
        <v>5500</v>
      </c>
      <c r="D1852" s="7" t="s">
        <v>34</v>
      </c>
      <c r="E1852" s="7" t="s">
        <v>27</v>
      </c>
    </row>
    <row r="1853" spans="1:5" ht="12.75">
      <c r="A1853" s="6" t="str">
        <f>HYPERLINK(SUBSTITUTE(T(hl_0),"{0}","330332825523427"),hn_0)</f>
        <v>ОВ</v>
      </c>
      <c r="B1853" s="7" t="s">
        <v>513</v>
      </c>
      <c r="C1853" s="8">
        <v>7000</v>
      </c>
      <c r="D1853" s="7" t="s">
        <v>44</v>
      </c>
      <c r="E1853" s="7" t="s">
        <v>29</v>
      </c>
    </row>
    <row r="1854" spans="1:5" ht="12.75">
      <c r="A1854" s="6" t="str">
        <f>HYPERLINK(SUBSTITUTE(T(hl_0),"{0}","330332825523427"),hn_0)</f>
        <v>ОВ</v>
      </c>
      <c r="B1854" s="7" t="s">
        <v>513</v>
      </c>
      <c r="C1854" s="8">
        <v>7000</v>
      </c>
      <c r="D1854" s="7" t="s">
        <v>44</v>
      </c>
      <c r="E1854" s="7" t="s">
        <v>29</v>
      </c>
    </row>
    <row r="1855" spans="1:5" ht="12.75">
      <c r="A1855" s="6" t="str">
        <f>HYPERLINK(SUBSTITUTE(T(hl_0),"{0}","319330882437440"),hn_0)</f>
        <v>ОВ</v>
      </c>
      <c r="B1855" s="7" t="s">
        <v>514</v>
      </c>
      <c r="C1855" s="8">
        <v>5700</v>
      </c>
      <c r="D1855" s="7" t="s">
        <v>14</v>
      </c>
      <c r="E1855" s="7" t="s">
        <v>15</v>
      </c>
    </row>
    <row r="1856" spans="1:5" ht="12.75">
      <c r="A1856" s="6" t="str">
        <f>HYPERLINK(SUBSTITUTE(T(hl_0),"{0}","319330882435394"),hn_0)</f>
        <v>ОВ</v>
      </c>
      <c r="B1856" s="7" t="s">
        <v>514</v>
      </c>
      <c r="C1856" s="8">
        <v>5700</v>
      </c>
      <c r="D1856" s="7" t="s">
        <v>14</v>
      </c>
      <c r="E1856" s="7" t="s">
        <v>15</v>
      </c>
    </row>
    <row r="1857" spans="1:5" ht="12.75">
      <c r="A1857" s="6" t="str">
        <f>HYPERLINK(SUBSTITUTE(T(hl_0),"{0}","321332652751790"),hn_0)</f>
        <v>ОВ</v>
      </c>
      <c r="B1857" s="7" t="s">
        <v>514</v>
      </c>
      <c r="C1857" s="8">
        <v>5000</v>
      </c>
      <c r="D1857" s="7" t="s">
        <v>18</v>
      </c>
      <c r="E1857" s="7" t="s">
        <v>19</v>
      </c>
    </row>
    <row r="1858" spans="1:5" ht="12.75">
      <c r="A1858" s="6" t="str">
        <f>HYPERLINK(SUBSTITUTE(T(hl_0),"{0}","330326875683389"),hn_0)</f>
        <v>ОВ</v>
      </c>
      <c r="B1858" s="7" t="s">
        <v>514</v>
      </c>
      <c r="C1858" s="8">
        <v>5000</v>
      </c>
      <c r="D1858" s="7" t="s">
        <v>44</v>
      </c>
      <c r="E1858" s="7" t="s">
        <v>29</v>
      </c>
    </row>
    <row r="1859" spans="1:5" ht="12.75">
      <c r="A1859" s="6" t="str">
        <f>HYPERLINK(SUBSTITUTE(T(hl_0),"{0}","330326875636983"),hn_0)</f>
        <v>ОВ</v>
      </c>
      <c r="B1859" s="7" t="s">
        <v>514</v>
      </c>
      <c r="C1859" s="8">
        <v>5000</v>
      </c>
      <c r="D1859" s="7" t="s">
        <v>44</v>
      </c>
      <c r="E1859" s="7" t="s">
        <v>29</v>
      </c>
    </row>
    <row r="1860" spans="1:5" ht="12.75">
      <c r="A1860" s="6" t="str">
        <f>HYPERLINK(SUBSTITUTE(T(hl_0),"{0}","319330882225315"),hn_0)</f>
        <v>ОВ</v>
      </c>
      <c r="B1860" s="7" t="s">
        <v>515</v>
      </c>
      <c r="C1860" s="8">
        <v>5960</v>
      </c>
      <c r="D1860" s="7" t="s">
        <v>14</v>
      </c>
      <c r="E1860" s="7" t="s">
        <v>15</v>
      </c>
    </row>
    <row r="1861" spans="1:5" ht="12.75">
      <c r="A1861" s="6" t="str">
        <f>HYPERLINK(SUBSTITUTE(T(hl_0),"{0}","321331455524081"),hn_0)</f>
        <v>ОВ</v>
      </c>
      <c r="B1861" s="7" t="s">
        <v>515</v>
      </c>
      <c r="C1861" s="8">
        <v>5400</v>
      </c>
      <c r="D1861" s="7" t="s">
        <v>18</v>
      </c>
      <c r="E1861" s="7" t="s">
        <v>19</v>
      </c>
    </row>
    <row r="1862" spans="1:5" ht="12.75">
      <c r="A1862" s="6" t="str">
        <f>HYPERLINK(SUBSTITUTE(T(hl_0),"{0}","327332649252652"),hn_0)</f>
        <v>ОВ</v>
      </c>
      <c r="B1862" s="7" t="s">
        <v>515</v>
      </c>
      <c r="C1862" s="8">
        <v>5000</v>
      </c>
      <c r="D1862" s="7" t="s">
        <v>245</v>
      </c>
      <c r="E1862" s="7" t="s">
        <v>12</v>
      </c>
    </row>
    <row r="1863" spans="1:5" ht="12.75">
      <c r="A1863" s="6" t="str">
        <f>HYPERLINK(SUBSTITUTE(T(hl_0),"{0}","900332677130425"),hn_0)</f>
        <v>ОВ</v>
      </c>
      <c r="B1863" s="7" t="s">
        <v>515</v>
      </c>
      <c r="C1863" s="8">
        <v>9000</v>
      </c>
      <c r="D1863" s="7" t="s">
        <v>11</v>
      </c>
      <c r="E1863" s="7" t="s">
        <v>20</v>
      </c>
    </row>
    <row r="1864" spans="1:5" ht="12.75">
      <c r="A1864" s="6" t="str">
        <f>HYPERLINK(SUBSTITUTE(T(hl_0),"{0}","900331341796425"),hn_0)</f>
        <v>ОВ</v>
      </c>
      <c r="B1864" s="7" t="s">
        <v>515</v>
      </c>
      <c r="C1864" s="8">
        <v>5100</v>
      </c>
      <c r="D1864" s="7" t="s">
        <v>11</v>
      </c>
      <c r="E1864" s="7" t="s">
        <v>20</v>
      </c>
    </row>
    <row r="1865" spans="1:5" ht="12.75">
      <c r="A1865" s="6" t="str">
        <f>HYPERLINK(SUBSTITUTE(T(hl_0),"{0}","900331341786104"),hn_0)</f>
        <v>ОВ</v>
      </c>
      <c r="B1865" s="7" t="s">
        <v>515</v>
      </c>
      <c r="C1865" s="8">
        <v>5100</v>
      </c>
      <c r="D1865" s="7" t="s">
        <v>11</v>
      </c>
      <c r="E1865" s="7" t="s">
        <v>20</v>
      </c>
    </row>
    <row r="1866" spans="1:5" ht="12.75">
      <c r="A1866" s="6" t="str">
        <f>HYPERLINK(SUBSTITUTE(T(hl_0),"{0}","900331341788246"),hn_0)</f>
        <v>ОВ</v>
      </c>
      <c r="B1866" s="7" t="s">
        <v>515</v>
      </c>
      <c r="C1866" s="8">
        <v>5100</v>
      </c>
      <c r="D1866" s="7" t="s">
        <v>11</v>
      </c>
      <c r="E1866" s="7" t="s">
        <v>20</v>
      </c>
    </row>
    <row r="1867" spans="1:5" ht="25.5">
      <c r="A1867" s="6" t="str">
        <f>HYPERLINK(SUBSTITUTE(T(hl_0),"{0}","320332582928918"),hn_0)</f>
        <v>ОВ</v>
      </c>
      <c r="B1867" s="7" t="s">
        <v>516</v>
      </c>
      <c r="C1867" s="8">
        <v>5000</v>
      </c>
      <c r="D1867" s="7" t="s">
        <v>16</v>
      </c>
      <c r="E1867" s="7" t="s">
        <v>17</v>
      </c>
    </row>
    <row r="1868" spans="1:5" ht="12.75">
      <c r="A1868" s="6" t="str">
        <f>HYPERLINK(SUBSTITUTE(T(hl_0),"{0}","325327619106449"),hn_0)</f>
        <v>ОВ</v>
      </c>
      <c r="B1868" s="7" t="s">
        <v>517</v>
      </c>
      <c r="C1868" s="8">
        <v>11000</v>
      </c>
      <c r="D1868" s="7" t="s">
        <v>301</v>
      </c>
      <c r="E1868" s="7" t="s">
        <v>27</v>
      </c>
    </row>
    <row r="1869" spans="1:5" ht="25.5">
      <c r="A1869" s="6" t="str">
        <f>HYPERLINK(SUBSTITUTE(T(hl_0),"{0}","900328299541725"),hn_0)</f>
        <v>ОВ</v>
      </c>
      <c r="B1869" s="7" t="s">
        <v>518</v>
      </c>
      <c r="C1869" s="8">
        <v>5000</v>
      </c>
      <c r="D1869" s="7" t="s">
        <v>11</v>
      </c>
      <c r="E1869" s="7" t="s">
        <v>20</v>
      </c>
    </row>
    <row r="1870" spans="1:5" ht="25.5">
      <c r="A1870" s="6" t="str">
        <f>HYPERLINK(SUBSTITUTE(T(hl_0),"{0}","334332651355456"),hn_0)</f>
        <v>ОВ</v>
      </c>
      <c r="B1870" s="7" t="s">
        <v>519</v>
      </c>
      <c r="C1870" s="8">
        <v>7000</v>
      </c>
      <c r="D1870" s="7" t="s">
        <v>69</v>
      </c>
      <c r="E1870" s="7" t="s">
        <v>209</v>
      </c>
    </row>
    <row r="1871" spans="1:5" ht="12.75">
      <c r="A1871" s="6" t="str">
        <f>HYPERLINK(SUBSTITUTE(T(hl_0),"{0}","326325824735263"),hn_0)</f>
        <v>ОВ</v>
      </c>
      <c r="B1871" s="7" t="s">
        <v>520</v>
      </c>
      <c r="C1871" s="8">
        <v>5500</v>
      </c>
      <c r="D1871" s="7" t="s">
        <v>206</v>
      </c>
      <c r="E1871" s="7" t="s">
        <v>40</v>
      </c>
    </row>
    <row r="1872" spans="1:5" ht="12.75">
      <c r="A1872" s="6" t="str">
        <f>HYPERLINK(SUBSTITUTE(T(hl_0),"{0}","326325824735263"),hn_0)</f>
        <v>ОВ</v>
      </c>
      <c r="B1872" s="7" t="s">
        <v>520</v>
      </c>
      <c r="C1872" s="8">
        <v>5500</v>
      </c>
      <c r="D1872" s="7" t="s">
        <v>206</v>
      </c>
      <c r="E1872" s="7" t="s">
        <v>40</v>
      </c>
    </row>
    <row r="1873" spans="1:5" ht="12.75">
      <c r="A1873" s="6" t="str">
        <f>HYPERLINK(SUBSTITUTE(T(hl_0),"{0}","326332025271961"),hn_0)</f>
        <v>ОВ</v>
      </c>
      <c r="B1873" s="7" t="s">
        <v>520</v>
      </c>
      <c r="C1873" s="8">
        <v>5000</v>
      </c>
      <c r="D1873" s="7" t="s">
        <v>206</v>
      </c>
      <c r="E1873" s="7" t="s">
        <v>40</v>
      </c>
    </row>
    <row r="1874" spans="1:5" ht="12.75">
      <c r="A1874" s="6" t="str">
        <f>HYPERLINK(SUBSTITUTE(T(hl_0),"{0}","326332025271961"),hn_0)</f>
        <v>ОВ</v>
      </c>
      <c r="B1874" s="7" t="s">
        <v>520</v>
      </c>
      <c r="C1874" s="8">
        <v>5000</v>
      </c>
      <c r="D1874" s="7" t="s">
        <v>206</v>
      </c>
      <c r="E1874" s="7" t="s">
        <v>40</v>
      </c>
    </row>
    <row r="1875" spans="1:5" ht="12.75">
      <c r="A1875" s="6" t="str">
        <f>HYPERLINK(SUBSTITUTE(T(hl_0),"{0}","321331967598351"),hn_0)</f>
        <v>ОВ</v>
      </c>
      <c r="B1875" s="7" t="s">
        <v>521</v>
      </c>
      <c r="C1875" s="8">
        <v>7020</v>
      </c>
      <c r="D1875" s="7" t="s">
        <v>18</v>
      </c>
      <c r="E1875" s="7" t="s">
        <v>19</v>
      </c>
    </row>
    <row r="1876" spans="1:5" ht="12.75">
      <c r="A1876" s="6" t="str">
        <f>HYPERLINK(SUBSTITUTE(T(hl_0),"{0}","325328346705704"),hn_0)</f>
        <v>ОВ</v>
      </c>
      <c r="B1876" s="7" t="s">
        <v>521</v>
      </c>
      <c r="C1876" s="8">
        <v>7500</v>
      </c>
      <c r="D1876" s="7" t="s">
        <v>492</v>
      </c>
      <c r="E1876" s="7" t="s">
        <v>27</v>
      </c>
    </row>
    <row r="1877" spans="1:5" ht="12.75">
      <c r="A1877" s="6" t="str">
        <f>HYPERLINK(SUBSTITUTE(T(hl_0),"{0}","325328272702152"),hn_0)</f>
        <v>ОВ</v>
      </c>
      <c r="B1877" s="7" t="s">
        <v>522</v>
      </c>
      <c r="C1877" s="8">
        <v>5000</v>
      </c>
      <c r="D1877" s="7" t="s">
        <v>34</v>
      </c>
      <c r="E1877" s="7" t="s">
        <v>27</v>
      </c>
    </row>
    <row r="1878" spans="1:5" ht="12.75">
      <c r="A1878" s="6" t="str">
        <f>HYPERLINK(SUBSTITUTE(T(hl_0),"{0}","332327988968818"),hn_0)</f>
        <v>ОВ</v>
      </c>
      <c r="B1878" s="7" t="s">
        <v>522</v>
      </c>
      <c r="C1878" s="8">
        <v>9500</v>
      </c>
      <c r="D1878" s="7" t="s">
        <v>30</v>
      </c>
      <c r="E1878" s="7" t="s">
        <v>31</v>
      </c>
    </row>
    <row r="1879" spans="1:5" ht="12.75">
      <c r="A1879" s="6" t="str">
        <f>HYPERLINK(SUBSTITUTE(T(hl_0),"{0}","900331562661797"),hn_0)</f>
        <v>ОВ</v>
      </c>
      <c r="B1879" s="7" t="s">
        <v>522</v>
      </c>
      <c r="C1879" s="8">
        <v>15000</v>
      </c>
      <c r="D1879" s="7" t="s">
        <v>11</v>
      </c>
      <c r="E1879" s="7" t="s">
        <v>20</v>
      </c>
    </row>
    <row r="1880" spans="1:5" ht="12.75">
      <c r="A1880" s="6" t="str">
        <f>HYPERLINK(SUBSTITUTE(T(hl_0),"{0}","900325739246489"),hn_0)</f>
        <v>ОВ</v>
      </c>
      <c r="B1880" s="7" t="s">
        <v>523</v>
      </c>
      <c r="C1880" s="8">
        <v>5000</v>
      </c>
      <c r="D1880" s="7" t="s">
        <v>11</v>
      </c>
      <c r="E1880" s="7" t="s">
        <v>20</v>
      </c>
    </row>
    <row r="1881" spans="1:5" ht="25.5">
      <c r="A1881" s="6" t="str">
        <f>HYPERLINK(SUBSTITUTE(T(hl_0),"{0}","320331726921407"),hn_0)</f>
        <v>ОВ</v>
      </c>
      <c r="B1881" s="7" t="s">
        <v>524</v>
      </c>
      <c r="C1881" s="8">
        <v>5000</v>
      </c>
      <c r="D1881" s="7" t="s">
        <v>16</v>
      </c>
      <c r="E1881" s="7" t="s">
        <v>17</v>
      </c>
    </row>
    <row r="1882" spans="1:5" ht="12.75">
      <c r="A1882" s="6" t="str">
        <f>HYPERLINK(SUBSTITUTE(T(hl_0),"{0}","326327362570219"),hn_0)</f>
        <v>ОВ</v>
      </c>
      <c r="B1882" s="7" t="s">
        <v>524</v>
      </c>
      <c r="C1882" s="8">
        <v>5100</v>
      </c>
      <c r="D1882" s="7" t="s">
        <v>375</v>
      </c>
      <c r="E1882" s="7" t="s">
        <v>40</v>
      </c>
    </row>
    <row r="1883" spans="1:5" ht="25.5">
      <c r="A1883" s="6" t="str">
        <f>HYPERLINK(SUBSTITUTE(T(hl_0),"{0}","328332148272727"),hn_0)</f>
        <v>ОВ</v>
      </c>
      <c r="B1883" s="7" t="s">
        <v>524</v>
      </c>
      <c r="C1883" s="8">
        <v>5000</v>
      </c>
      <c r="D1883" s="7" t="s">
        <v>193</v>
      </c>
      <c r="E1883" s="7" t="s">
        <v>58</v>
      </c>
    </row>
    <row r="1884" spans="1:5" ht="25.5">
      <c r="A1884" s="6" t="str">
        <f>HYPERLINK(SUBSTITUTE(T(hl_0),"{0}","328332148272727"),hn_0)</f>
        <v>ОВ</v>
      </c>
      <c r="B1884" s="7" t="s">
        <v>524</v>
      </c>
      <c r="C1884" s="8">
        <v>5000</v>
      </c>
      <c r="D1884" s="7" t="s">
        <v>193</v>
      </c>
      <c r="E1884" s="7" t="s">
        <v>58</v>
      </c>
    </row>
    <row r="1885" spans="1:5" ht="12.75">
      <c r="A1885" s="6" t="str">
        <f>HYPERLINK(SUBSTITUTE(T(hl_0),"{0}","327332581616214"),hn_0)</f>
        <v>ОВ</v>
      </c>
      <c r="B1885" s="7" t="s">
        <v>525</v>
      </c>
      <c r="C1885" s="8">
        <v>8000</v>
      </c>
      <c r="D1885" s="7" t="s">
        <v>11</v>
      </c>
      <c r="E1885" s="7" t="s">
        <v>12</v>
      </c>
    </row>
    <row r="1886" spans="1:5" ht="12.75">
      <c r="A1886" s="6" t="str">
        <f>HYPERLINK(SUBSTITUTE(T(hl_0),"{0}","900332734243906"),hn_0)</f>
        <v>ОВ</v>
      </c>
      <c r="B1886" s="7" t="s">
        <v>525</v>
      </c>
      <c r="C1886" s="8">
        <v>5500</v>
      </c>
      <c r="D1886" s="7" t="s">
        <v>11</v>
      </c>
      <c r="E1886" s="7" t="s">
        <v>20</v>
      </c>
    </row>
    <row r="1887" spans="1:5" ht="12.75">
      <c r="A1887" s="6" t="str">
        <f>HYPERLINK(SUBSTITUTE(T(hl_0),"{0}","900332734243906"),hn_0)</f>
        <v>ОВ</v>
      </c>
      <c r="B1887" s="7" t="s">
        <v>525</v>
      </c>
      <c r="C1887" s="8">
        <v>5500</v>
      </c>
      <c r="D1887" s="7" t="s">
        <v>11</v>
      </c>
      <c r="E1887" s="7" t="s">
        <v>20</v>
      </c>
    </row>
    <row r="1888" spans="1:5" ht="12.75">
      <c r="A1888" s="6" t="str">
        <f>HYPERLINK(SUBSTITUTE(T(hl_0),"{0}","900332734243906"),hn_0)</f>
        <v>ОВ</v>
      </c>
      <c r="B1888" s="7" t="s">
        <v>525</v>
      </c>
      <c r="C1888" s="8">
        <v>5500</v>
      </c>
      <c r="D1888" s="7" t="s">
        <v>11</v>
      </c>
      <c r="E1888" s="7" t="s">
        <v>20</v>
      </c>
    </row>
    <row r="1889" spans="1:5" ht="12.75">
      <c r="A1889" s="6" t="str">
        <f>HYPERLINK(SUBSTITUTE(T(hl_0),"{0}","900331625349531"),hn_0)</f>
        <v>ОВ</v>
      </c>
      <c r="B1889" s="7" t="s">
        <v>525</v>
      </c>
      <c r="C1889" s="8">
        <v>10000</v>
      </c>
      <c r="D1889" s="7" t="s">
        <v>11</v>
      </c>
      <c r="E1889" s="7" t="s">
        <v>20</v>
      </c>
    </row>
    <row r="1890" spans="1:5" ht="12.75">
      <c r="A1890" s="6" t="str">
        <f>HYPERLINK(SUBSTITUTE(T(hl_0),"{0}","900331136552089"),hn_0)</f>
        <v>ОВ</v>
      </c>
      <c r="B1890" s="7" t="s">
        <v>526</v>
      </c>
      <c r="C1890" s="8">
        <v>6000</v>
      </c>
      <c r="D1890" s="7" t="s">
        <v>11</v>
      </c>
      <c r="E1890" s="7" t="s">
        <v>20</v>
      </c>
    </row>
    <row r="1891" spans="1:5" ht="12.75">
      <c r="A1891" s="6" t="str">
        <f>HYPERLINK(SUBSTITUTE(T(hl_0),"{0}","322332826576232"),hn_0)</f>
        <v>ОВ</v>
      </c>
      <c r="B1891" s="7" t="s">
        <v>527</v>
      </c>
      <c r="C1891" s="8">
        <v>5500</v>
      </c>
      <c r="D1891" s="7" t="s">
        <v>260</v>
      </c>
      <c r="E1891" s="7" t="s">
        <v>47</v>
      </c>
    </row>
    <row r="1892" spans="1:5" ht="12.75">
      <c r="A1892" s="6" t="str">
        <f>HYPERLINK(SUBSTITUTE(T(hl_0),"{0}","330331508492863"),hn_0)</f>
        <v>ОВ</v>
      </c>
      <c r="B1892" s="7" t="s">
        <v>527</v>
      </c>
      <c r="C1892" s="8">
        <v>6000</v>
      </c>
      <c r="D1892" s="7" t="s">
        <v>252</v>
      </c>
      <c r="E1892" s="7" t="s">
        <v>29</v>
      </c>
    </row>
    <row r="1893" spans="1:5" ht="12.75">
      <c r="A1893" s="6" t="str">
        <f>HYPERLINK(SUBSTITUTE(T(hl_0),"{0}","330331508492871"),hn_0)</f>
        <v>ОВ</v>
      </c>
      <c r="B1893" s="7" t="s">
        <v>527</v>
      </c>
      <c r="C1893" s="8">
        <v>6000</v>
      </c>
      <c r="D1893" s="7" t="s">
        <v>252</v>
      </c>
      <c r="E1893" s="7" t="s">
        <v>29</v>
      </c>
    </row>
    <row r="1894" spans="1:5" ht="12.75">
      <c r="A1894" s="6" t="str">
        <f>HYPERLINK(SUBSTITUTE(T(hl_0),"{0}","330331508492883"),hn_0)</f>
        <v>ОВ</v>
      </c>
      <c r="B1894" s="7" t="s">
        <v>527</v>
      </c>
      <c r="C1894" s="8">
        <v>6000</v>
      </c>
      <c r="D1894" s="7" t="s">
        <v>252</v>
      </c>
      <c r="E1894" s="7" t="s">
        <v>29</v>
      </c>
    </row>
    <row r="1895" spans="1:5" ht="12.75">
      <c r="A1895" s="6" t="str">
        <f>HYPERLINK(SUBSTITUTE(T(hl_0),"{0}","330332528017510"),hn_0)</f>
        <v>ОВ</v>
      </c>
      <c r="B1895" s="7" t="s">
        <v>527</v>
      </c>
      <c r="C1895" s="8">
        <v>5000</v>
      </c>
      <c r="D1895" s="7" t="s">
        <v>44</v>
      </c>
      <c r="E1895" s="7" t="s">
        <v>29</v>
      </c>
    </row>
    <row r="1896" spans="1:5" ht="12.75">
      <c r="A1896" s="6" t="str">
        <f>HYPERLINK(SUBSTITUTE(T(hl_0),"{0}","330332556157367"),hn_0)</f>
        <v>ОВ</v>
      </c>
      <c r="B1896" s="7" t="s">
        <v>527</v>
      </c>
      <c r="C1896" s="8">
        <v>5500</v>
      </c>
      <c r="D1896" s="7" t="s">
        <v>44</v>
      </c>
      <c r="E1896" s="7" t="s">
        <v>29</v>
      </c>
    </row>
    <row r="1897" spans="1:5" ht="12.75">
      <c r="A1897" s="6" t="str">
        <f>HYPERLINK(SUBSTITUTE(T(hl_0),"{0}","330331675936352"),hn_0)</f>
        <v>ОВ</v>
      </c>
      <c r="B1897" s="7" t="s">
        <v>527</v>
      </c>
      <c r="C1897" s="8">
        <v>8000</v>
      </c>
      <c r="D1897" s="7" t="s">
        <v>44</v>
      </c>
      <c r="E1897" s="7" t="s">
        <v>29</v>
      </c>
    </row>
    <row r="1898" spans="1:5" ht="12.75">
      <c r="A1898" s="6" t="str">
        <f>HYPERLINK(SUBSTITUTE(T(hl_0),"{0}","332332417274348"),hn_0)</f>
        <v>ОВ</v>
      </c>
      <c r="B1898" s="7" t="s">
        <v>527</v>
      </c>
      <c r="C1898" s="8">
        <v>5000</v>
      </c>
      <c r="D1898" s="7" t="s">
        <v>528</v>
      </c>
      <c r="E1898" s="7" t="s">
        <v>31</v>
      </c>
    </row>
    <row r="1899" spans="1:5" ht="12.75">
      <c r="A1899" s="6" t="str">
        <f>HYPERLINK(SUBSTITUTE(T(hl_0),"{0}","900332417082874"),hn_0)</f>
        <v>ОВ</v>
      </c>
      <c r="B1899" s="7" t="s">
        <v>527</v>
      </c>
      <c r="C1899" s="8">
        <v>5000</v>
      </c>
      <c r="D1899" s="7" t="s">
        <v>305</v>
      </c>
      <c r="E1899" s="7" t="s">
        <v>20</v>
      </c>
    </row>
    <row r="1900" spans="1:5" ht="12.75">
      <c r="A1900" s="6" t="str">
        <f>HYPERLINK(SUBSTITUTE(T(hl_0),"{0}","900332417125471"),hn_0)</f>
        <v>ОВ</v>
      </c>
      <c r="B1900" s="7" t="s">
        <v>527</v>
      </c>
      <c r="C1900" s="8">
        <v>5000</v>
      </c>
      <c r="D1900" s="7" t="s">
        <v>305</v>
      </c>
      <c r="E1900" s="7" t="s">
        <v>20</v>
      </c>
    </row>
    <row r="1901" spans="1:5" ht="12.75">
      <c r="A1901" s="6" t="str">
        <f>HYPERLINK(SUBSTITUTE(T(hl_0),"{0}","900332417288402"),hn_0)</f>
        <v>ОВ</v>
      </c>
      <c r="B1901" s="7" t="s">
        <v>527</v>
      </c>
      <c r="C1901" s="8">
        <v>5000</v>
      </c>
      <c r="D1901" s="7" t="s">
        <v>11</v>
      </c>
      <c r="E1901" s="7" t="s">
        <v>20</v>
      </c>
    </row>
    <row r="1902" spans="1:5" ht="12.75">
      <c r="A1902" s="6" t="str">
        <f>HYPERLINK(SUBSTITUTE(T(hl_0),"{0}","900331367148771"),hn_0)</f>
        <v>ОВ</v>
      </c>
      <c r="B1902" s="7" t="s">
        <v>527</v>
      </c>
      <c r="C1902" s="8">
        <v>5000</v>
      </c>
      <c r="D1902" s="7" t="s">
        <v>505</v>
      </c>
      <c r="E1902" s="7" t="s">
        <v>20</v>
      </c>
    </row>
    <row r="1903" spans="1:5" ht="12.75">
      <c r="A1903" s="6" t="str">
        <f>HYPERLINK(SUBSTITUTE(T(hl_0),"{0}","334332416244949"),hn_0)</f>
        <v>ОВ</v>
      </c>
      <c r="B1903" s="7" t="s">
        <v>529</v>
      </c>
      <c r="C1903" s="8">
        <v>7000</v>
      </c>
      <c r="D1903" s="7" t="s">
        <v>530</v>
      </c>
      <c r="E1903" s="7" t="s">
        <v>209</v>
      </c>
    </row>
    <row r="1904" spans="1:5" ht="12.75">
      <c r="A1904" s="6" t="str">
        <f>HYPERLINK(SUBSTITUTE(T(hl_0),"{0}","321332558299509"),hn_0)</f>
        <v>ОВ</v>
      </c>
      <c r="B1904" s="7" t="s">
        <v>531</v>
      </c>
      <c r="C1904" s="8">
        <v>5300</v>
      </c>
      <c r="D1904" s="7" t="s">
        <v>18</v>
      </c>
      <c r="E1904" s="7" t="s">
        <v>19</v>
      </c>
    </row>
    <row r="1905" spans="1:5" ht="12.75">
      <c r="A1905" s="6" t="str">
        <f>HYPERLINK(SUBSTITUTE(T(hl_0),"{0}","325332583724373"),hn_0)</f>
        <v>ОВ</v>
      </c>
      <c r="B1905" s="7" t="s">
        <v>531</v>
      </c>
      <c r="C1905" s="8">
        <v>7000</v>
      </c>
      <c r="D1905" s="7" t="s">
        <v>34</v>
      </c>
      <c r="E1905" s="7" t="s">
        <v>27</v>
      </c>
    </row>
    <row r="1906" spans="1:5" ht="12.75">
      <c r="A1906" s="6" t="str">
        <f>HYPERLINK(SUBSTITUTE(T(hl_0),"{0}","330331365699885"),hn_0)</f>
        <v>ОВ</v>
      </c>
      <c r="B1906" s="7" t="s">
        <v>531</v>
      </c>
      <c r="C1906" s="8">
        <v>5000</v>
      </c>
      <c r="D1906" s="7" t="s">
        <v>498</v>
      </c>
      <c r="E1906" s="7" t="s">
        <v>29</v>
      </c>
    </row>
    <row r="1907" spans="1:5" ht="12.75">
      <c r="A1907" s="6" t="str">
        <f>HYPERLINK(SUBSTITUTE(T(hl_0),"{0}","330331365693674"),hn_0)</f>
        <v>ОВ</v>
      </c>
      <c r="B1907" s="7" t="s">
        <v>531</v>
      </c>
      <c r="C1907" s="8">
        <v>5000</v>
      </c>
      <c r="D1907" s="7" t="s">
        <v>68</v>
      </c>
      <c r="E1907" s="7" t="s">
        <v>29</v>
      </c>
    </row>
    <row r="1908" spans="1:5" ht="12.75">
      <c r="A1908" s="6" t="str">
        <f>HYPERLINK(SUBSTITUTE(T(hl_0),"{0}","330331365665578"),hn_0)</f>
        <v>ОВ</v>
      </c>
      <c r="B1908" s="7" t="s">
        <v>531</v>
      </c>
      <c r="C1908" s="8">
        <v>5000</v>
      </c>
      <c r="D1908" s="7" t="s">
        <v>237</v>
      </c>
      <c r="E1908" s="7" t="s">
        <v>29</v>
      </c>
    </row>
    <row r="1909" spans="1:5" ht="12.75">
      <c r="A1909" s="6" t="str">
        <f>HYPERLINK(SUBSTITUTE(T(hl_0),"{0}","330331365676741"),hn_0)</f>
        <v>ОВ</v>
      </c>
      <c r="B1909" s="7" t="s">
        <v>531</v>
      </c>
      <c r="C1909" s="8">
        <v>5000</v>
      </c>
      <c r="D1909" s="7" t="s">
        <v>57</v>
      </c>
      <c r="E1909" s="7" t="s">
        <v>29</v>
      </c>
    </row>
    <row r="1910" spans="1:5" ht="12.75">
      <c r="A1910" s="6" t="str">
        <f>HYPERLINK(SUBSTITUTE(T(hl_0),"{0}","330331365704759"),hn_0)</f>
        <v>ОВ</v>
      </c>
      <c r="B1910" s="7" t="s">
        <v>531</v>
      </c>
      <c r="C1910" s="8">
        <v>5000</v>
      </c>
      <c r="D1910" s="7" t="s">
        <v>499</v>
      </c>
      <c r="E1910" s="7" t="s">
        <v>29</v>
      </c>
    </row>
    <row r="1911" spans="1:5" ht="12.75">
      <c r="A1911" s="6" t="str">
        <f>HYPERLINK(SUBSTITUTE(T(hl_0),"{0}","330331365715435"),hn_0)</f>
        <v>ОВ</v>
      </c>
      <c r="B1911" s="7" t="s">
        <v>531</v>
      </c>
      <c r="C1911" s="8">
        <v>5000</v>
      </c>
      <c r="D1911" s="7" t="s">
        <v>497</v>
      </c>
      <c r="E1911" s="7" t="s">
        <v>29</v>
      </c>
    </row>
    <row r="1912" spans="1:5" ht="12.75">
      <c r="A1912" s="6" t="str">
        <f>HYPERLINK(SUBSTITUTE(T(hl_0),"{0}","330331365660334"),hn_0)</f>
        <v>ОВ</v>
      </c>
      <c r="B1912" s="7" t="s">
        <v>531</v>
      </c>
      <c r="C1912" s="8">
        <v>5000</v>
      </c>
      <c r="D1912" s="7" t="s">
        <v>44</v>
      </c>
      <c r="E1912" s="7" t="s">
        <v>29</v>
      </c>
    </row>
    <row r="1913" spans="1:5" ht="12.75">
      <c r="A1913" s="6" t="str">
        <f>HYPERLINK(SUBSTITUTE(T(hl_0),"{0}","900332580697756"),hn_0)</f>
        <v>ОВ</v>
      </c>
      <c r="B1913" s="7" t="s">
        <v>531</v>
      </c>
      <c r="C1913" s="8">
        <v>5000</v>
      </c>
      <c r="D1913" s="7" t="s">
        <v>41</v>
      </c>
      <c r="E1913" s="7" t="s">
        <v>20</v>
      </c>
    </row>
    <row r="1914" spans="1:5" ht="12.75">
      <c r="A1914" s="6" t="str">
        <f>HYPERLINK(SUBSTITUTE(T(hl_0),"{0}","900331994543494"),hn_0)</f>
        <v>ОВ</v>
      </c>
      <c r="B1914" s="7" t="s">
        <v>531</v>
      </c>
      <c r="C1914" s="8">
        <v>5000</v>
      </c>
      <c r="D1914" s="7" t="s">
        <v>11</v>
      </c>
      <c r="E1914" s="7" t="s">
        <v>20</v>
      </c>
    </row>
    <row r="1915" spans="1:5" ht="12.75">
      <c r="A1915" s="6" t="str">
        <f>HYPERLINK(SUBSTITUTE(T(hl_0),"{0}","900329445207046"),hn_0)</f>
        <v>ОВ</v>
      </c>
      <c r="B1915" s="7" t="s">
        <v>531</v>
      </c>
      <c r="C1915" s="8">
        <v>5000</v>
      </c>
      <c r="D1915" s="7" t="s">
        <v>532</v>
      </c>
      <c r="E1915" s="7" t="s">
        <v>20</v>
      </c>
    </row>
    <row r="1916" spans="1:5" ht="12.75">
      <c r="A1916" s="6" t="str">
        <f>HYPERLINK(SUBSTITUTE(T(hl_0),"{0}","900329445207046"),hn_0)</f>
        <v>ОВ</v>
      </c>
      <c r="B1916" s="7" t="s">
        <v>531</v>
      </c>
      <c r="C1916" s="8">
        <v>5000</v>
      </c>
      <c r="D1916" s="7" t="s">
        <v>532</v>
      </c>
      <c r="E1916" s="7" t="s">
        <v>20</v>
      </c>
    </row>
    <row r="1917" spans="1:5" ht="12.75">
      <c r="A1917" s="6" t="str">
        <f>HYPERLINK(SUBSTITUTE(T(hl_0),"{0}","900331819713402"),hn_0)</f>
        <v>ОВ</v>
      </c>
      <c r="B1917" s="7" t="s">
        <v>531</v>
      </c>
      <c r="C1917" s="8">
        <v>6000</v>
      </c>
      <c r="D1917" s="7" t="s">
        <v>11</v>
      </c>
      <c r="E1917" s="7" t="s">
        <v>20</v>
      </c>
    </row>
    <row r="1918" spans="1:5" ht="12.75">
      <c r="A1918" s="6" t="str">
        <f>HYPERLINK(SUBSTITUTE(T(hl_0),"{0}","325328271978521"),hn_0)</f>
        <v>ОВ</v>
      </c>
      <c r="B1918" s="7" t="s">
        <v>533</v>
      </c>
      <c r="C1918" s="8">
        <v>5000</v>
      </c>
      <c r="D1918" s="7" t="s">
        <v>34</v>
      </c>
      <c r="E1918" s="7" t="s">
        <v>27</v>
      </c>
    </row>
    <row r="1919" spans="1:5" ht="12.75">
      <c r="A1919" s="6" t="str">
        <f>HYPERLINK(SUBSTITUTE(T(hl_0),"{0}","900332247900332"),hn_0)</f>
        <v>ОВ</v>
      </c>
      <c r="B1919" s="7" t="s">
        <v>534</v>
      </c>
      <c r="C1919" s="8">
        <v>7500</v>
      </c>
      <c r="D1919" s="7" t="s">
        <v>11</v>
      </c>
      <c r="E1919" s="7" t="s">
        <v>20</v>
      </c>
    </row>
    <row r="1920" spans="1:5" ht="12.75">
      <c r="A1920" s="6" t="str">
        <f>HYPERLINK(SUBSTITUTE(T(hl_0),"{0}","330331873218878"),hn_0)</f>
        <v>ОВ</v>
      </c>
      <c r="B1920" s="7" t="s">
        <v>535</v>
      </c>
      <c r="C1920" s="8">
        <v>5000</v>
      </c>
      <c r="D1920" s="7" t="s">
        <v>44</v>
      </c>
      <c r="E1920" s="7" t="s">
        <v>29</v>
      </c>
    </row>
    <row r="1921" spans="1:5" ht="12.75">
      <c r="A1921" s="6" t="str">
        <f>HYPERLINK(SUBSTITUTE(T(hl_0),"{0}","330331873488697"),hn_0)</f>
        <v>ОВ</v>
      </c>
      <c r="B1921" s="7" t="s">
        <v>536</v>
      </c>
      <c r="C1921" s="8">
        <v>5000</v>
      </c>
      <c r="D1921" s="7" t="s">
        <v>44</v>
      </c>
      <c r="E1921" s="7" t="s">
        <v>29</v>
      </c>
    </row>
    <row r="1922" spans="1:5" ht="12.75">
      <c r="A1922" s="6" t="str">
        <f>HYPERLINK(SUBSTITUTE(T(hl_0),"{0}","332327619029161"),hn_0)</f>
        <v>ОВ</v>
      </c>
      <c r="B1922" s="7" t="s">
        <v>537</v>
      </c>
      <c r="C1922" s="8">
        <v>5000</v>
      </c>
      <c r="D1922" s="7" t="s">
        <v>30</v>
      </c>
      <c r="E1922" s="7" t="s">
        <v>31</v>
      </c>
    </row>
    <row r="1923" spans="1:5" ht="12.75">
      <c r="A1923" s="6" t="str">
        <f>HYPERLINK(SUBSTITUTE(T(hl_0),"{0}","321332581836024"),hn_0)</f>
        <v>ОВ</v>
      </c>
      <c r="B1923" s="7" t="s">
        <v>538</v>
      </c>
      <c r="C1923" s="8">
        <v>7000</v>
      </c>
      <c r="D1923" s="7" t="s">
        <v>18</v>
      </c>
      <c r="E1923" s="7" t="s">
        <v>19</v>
      </c>
    </row>
    <row r="1924" spans="1:5" ht="12.75">
      <c r="A1924" s="6" t="str">
        <f>HYPERLINK(SUBSTITUTE(T(hl_0),"{0}","325328272568698"),hn_0)</f>
        <v>ОВ</v>
      </c>
      <c r="B1924" s="7" t="s">
        <v>538</v>
      </c>
      <c r="C1924" s="8">
        <v>5000</v>
      </c>
      <c r="D1924" s="7" t="s">
        <v>34</v>
      </c>
      <c r="E1924" s="7" t="s">
        <v>27</v>
      </c>
    </row>
    <row r="1925" spans="1:5" ht="12.75">
      <c r="A1925" s="6" t="str">
        <f>HYPERLINK(SUBSTITUTE(T(hl_0),"{0}","330331873439067"),hn_0)</f>
        <v>ОВ</v>
      </c>
      <c r="B1925" s="7" t="s">
        <v>538</v>
      </c>
      <c r="C1925" s="8">
        <v>5000</v>
      </c>
      <c r="D1925" s="7" t="s">
        <v>44</v>
      </c>
      <c r="E1925" s="7" t="s">
        <v>29</v>
      </c>
    </row>
    <row r="1926" spans="1:5" ht="12.75">
      <c r="A1926" s="6" t="str">
        <f>HYPERLINK(SUBSTITUTE(T(hl_0),"{0}","900326564816974"),hn_0)</f>
        <v>ОВ</v>
      </c>
      <c r="B1926" s="7" t="s">
        <v>539</v>
      </c>
      <c r="C1926" s="8">
        <v>6000</v>
      </c>
      <c r="D1926" s="7" t="s">
        <v>11</v>
      </c>
      <c r="E1926" s="7" t="s">
        <v>20</v>
      </c>
    </row>
    <row r="1927" spans="1:5" ht="12.75">
      <c r="A1927" s="6" t="str">
        <f>HYPERLINK(SUBSTITUTE(T(hl_0),"{0}","900328426817947"),hn_0)</f>
        <v>ОВ</v>
      </c>
      <c r="B1927" s="7" t="s">
        <v>539</v>
      </c>
      <c r="C1927" s="8">
        <v>7000</v>
      </c>
      <c r="D1927" s="7" t="s">
        <v>11</v>
      </c>
      <c r="E1927" s="7" t="s">
        <v>20</v>
      </c>
    </row>
    <row r="1928" spans="1:5" ht="12.75">
      <c r="A1928" s="6" t="str">
        <f>HYPERLINK(SUBSTITUTE(T(hl_0),"{0}","900326564817453"),hn_0)</f>
        <v>ОВ</v>
      </c>
      <c r="B1928" s="7" t="s">
        <v>540</v>
      </c>
      <c r="C1928" s="8">
        <v>6000</v>
      </c>
      <c r="D1928" s="7" t="s">
        <v>11</v>
      </c>
      <c r="E1928" s="7" t="s">
        <v>20</v>
      </c>
    </row>
    <row r="1929" spans="1:5" ht="12.75">
      <c r="A1929" s="6" t="str">
        <f>HYPERLINK(SUBSTITUTE(T(hl_0),"{0}","321331967603677"),hn_0)</f>
        <v>ОВ</v>
      </c>
      <c r="B1929" s="7" t="s">
        <v>541</v>
      </c>
      <c r="C1929" s="8">
        <v>7020</v>
      </c>
      <c r="D1929" s="7" t="s">
        <v>18</v>
      </c>
      <c r="E1929" s="7" t="s">
        <v>19</v>
      </c>
    </row>
    <row r="1930" spans="1:5" ht="12.75">
      <c r="A1930" s="6" t="str">
        <f>HYPERLINK(SUBSTITUTE(T(hl_0),"{0}","330331845960406"),hn_0)</f>
        <v>ОВ</v>
      </c>
      <c r="B1930" s="7" t="s">
        <v>542</v>
      </c>
      <c r="C1930" s="8">
        <v>5000</v>
      </c>
      <c r="D1930" s="7" t="s">
        <v>44</v>
      </c>
      <c r="E1930" s="7" t="s">
        <v>29</v>
      </c>
    </row>
    <row r="1931" spans="1:5" ht="12.75">
      <c r="A1931" s="6" t="str">
        <f>HYPERLINK(SUBSTITUTE(T(hl_0),"{0}","330331966960198"),hn_0)</f>
        <v>ОВ</v>
      </c>
      <c r="B1931" s="7" t="s">
        <v>543</v>
      </c>
      <c r="C1931" s="8">
        <v>5000</v>
      </c>
      <c r="D1931" s="7" t="s">
        <v>44</v>
      </c>
      <c r="E1931" s="7" t="s">
        <v>29</v>
      </c>
    </row>
    <row r="1932" spans="1:5" ht="12.75">
      <c r="A1932" s="6" t="str">
        <f>HYPERLINK(SUBSTITUTE(T(hl_0),"{0}","319332224100294"),hn_0)</f>
        <v>ОВ</v>
      </c>
      <c r="B1932" s="7" t="s">
        <v>544</v>
      </c>
      <c r="C1932" s="8">
        <v>5500</v>
      </c>
      <c r="D1932" s="7" t="s">
        <v>14</v>
      </c>
      <c r="E1932" s="7" t="s">
        <v>15</v>
      </c>
    </row>
    <row r="1933" spans="1:5" ht="25.5">
      <c r="A1933" s="6" t="str">
        <f>HYPERLINK(SUBSTITUTE(T(hl_0),"{0}","320331727114786"),hn_0)</f>
        <v>ОВ</v>
      </c>
      <c r="B1933" s="7" t="s">
        <v>545</v>
      </c>
      <c r="C1933" s="8">
        <v>5000</v>
      </c>
      <c r="D1933" s="7" t="s">
        <v>16</v>
      </c>
      <c r="E1933" s="7" t="s">
        <v>17</v>
      </c>
    </row>
    <row r="1934" spans="1:5" ht="25.5">
      <c r="A1934" s="6" t="str">
        <f>HYPERLINK(SUBSTITUTE(T(hl_0),"{0}","320331727121226"),hn_0)</f>
        <v>ОВ</v>
      </c>
      <c r="B1934" s="7" t="s">
        <v>545</v>
      </c>
      <c r="C1934" s="8">
        <v>5000</v>
      </c>
      <c r="D1934" s="7" t="s">
        <v>16</v>
      </c>
      <c r="E1934" s="7" t="s">
        <v>17</v>
      </c>
    </row>
    <row r="1935" spans="1:5" ht="25.5">
      <c r="A1935" s="6" t="str">
        <f>HYPERLINK(SUBSTITUTE(T(hl_0),"{0}","320331727107369"),hn_0)</f>
        <v>ОВ</v>
      </c>
      <c r="B1935" s="7" t="s">
        <v>545</v>
      </c>
      <c r="C1935" s="8">
        <v>5000</v>
      </c>
      <c r="D1935" s="7" t="s">
        <v>16</v>
      </c>
      <c r="E1935" s="7" t="s">
        <v>17</v>
      </c>
    </row>
    <row r="1936" spans="1:5" ht="25.5">
      <c r="A1936" s="6" t="str">
        <f>HYPERLINK(SUBSTITUTE(T(hl_0),"{0}","320331727104707"),hn_0)</f>
        <v>ОВ</v>
      </c>
      <c r="B1936" s="7" t="s">
        <v>545</v>
      </c>
      <c r="C1936" s="8">
        <v>5000</v>
      </c>
      <c r="D1936" s="7" t="s">
        <v>16</v>
      </c>
      <c r="E1936" s="7" t="s">
        <v>17</v>
      </c>
    </row>
    <row r="1937" spans="1:5" ht="12.75">
      <c r="A1937" s="6" t="str">
        <f>HYPERLINK(SUBSTITUTE(T(hl_0),"{0}","321327621610857"),hn_0)</f>
        <v>ОВ</v>
      </c>
      <c r="B1937" s="7" t="s">
        <v>545</v>
      </c>
      <c r="C1937" s="8">
        <v>6984</v>
      </c>
      <c r="D1937" s="7" t="s">
        <v>18</v>
      </c>
      <c r="E1937" s="7" t="s">
        <v>19</v>
      </c>
    </row>
    <row r="1938" spans="1:5" ht="12.75">
      <c r="A1938" s="6" t="str">
        <f>HYPERLINK(SUBSTITUTE(T(hl_0),"{0}","321327621600538"),hn_0)</f>
        <v>ОВ</v>
      </c>
      <c r="B1938" s="7" t="s">
        <v>545</v>
      </c>
      <c r="C1938" s="8">
        <v>6984</v>
      </c>
      <c r="D1938" s="7" t="s">
        <v>18</v>
      </c>
      <c r="E1938" s="7" t="s">
        <v>19</v>
      </c>
    </row>
    <row r="1939" spans="1:5" ht="12.75">
      <c r="A1939" s="6" t="str">
        <f>HYPERLINK(SUBSTITUTE(T(hl_0),"{0}","321327621612174"),hn_0)</f>
        <v>ОВ</v>
      </c>
      <c r="B1939" s="7" t="s">
        <v>545</v>
      </c>
      <c r="C1939" s="8">
        <v>6984</v>
      </c>
      <c r="D1939" s="7" t="s">
        <v>18</v>
      </c>
      <c r="E1939" s="7" t="s">
        <v>19</v>
      </c>
    </row>
    <row r="1940" spans="1:5" ht="12.75">
      <c r="A1940" s="6" t="str">
        <f>HYPERLINK(SUBSTITUTE(T(hl_0),"{0}","324331561211910"),hn_0)</f>
        <v>ОВ</v>
      </c>
      <c r="B1940" s="7" t="s">
        <v>545</v>
      </c>
      <c r="C1940" s="8">
        <v>5000</v>
      </c>
      <c r="D1940" s="7" t="s">
        <v>237</v>
      </c>
      <c r="E1940" s="7" t="s">
        <v>190</v>
      </c>
    </row>
    <row r="1941" spans="1:5" ht="12.75">
      <c r="A1941" s="6" t="str">
        <f>HYPERLINK(SUBSTITUTE(T(hl_0),"{0}","328332760256545"),hn_0)</f>
        <v>ОВ</v>
      </c>
      <c r="B1941" s="7" t="s">
        <v>545</v>
      </c>
      <c r="C1941" s="8">
        <v>6785.8</v>
      </c>
      <c r="D1941" s="7" t="s">
        <v>57</v>
      </c>
      <c r="E1941" s="7" t="s">
        <v>58</v>
      </c>
    </row>
    <row r="1942" spans="1:5" ht="12.75">
      <c r="A1942" s="6" t="str">
        <f>HYPERLINK(SUBSTITUTE(T(hl_0),"{0}","900326567752469"),hn_0)</f>
        <v>ОВ</v>
      </c>
      <c r="B1942" s="7" t="s">
        <v>545</v>
      </c>
      <c r="C1942" s="8">
        <v>5000</v>
      </c>
      <c r="D1942" s="7" t="s">
        <v>11</v>
      </c>
      <c r="E1942" s="7" t="s">
        <v>20</v>
      </c>
    </row>
    <row r="1943" spans="1:5" ht="12.75">
      <c r="A1943" s="6" t="str">
        <f>HYPERLINK(SUBSTITUTE(T(hl_0),"{0}","900326476626833"),hn_0)</f>
        <v>ОВ</v>
      </c>
      <c r="B1943" s="7" t="s">
        <v>545</v>
      </c>
      <c r="C1943" s="8">
        <v>5000</v>
      </c>
      <c r="D1943" s="7" t="s">
        <v>11</v>
      </c>
      <c r="E1943" s="7" t="s">
        <v>20</v>
      </c>
    </row>
    <row r="1944" spans="1:5" ht="12.75">
      <c r="A1944" s="6" t="str">
        <f>HYPERLINK(SUBSTITUTE(T(hl_0),"{0}","327331873121770"),hn_0)</f>
        <v>ОВ</v>
      </c>
      <c r="B1944" s="7" t="s">
        <v>546</v>
      </c>
      <c r="C1944" s="8">
        <v>8000</v>
      </c>
      <c r="D1944" s="7" t="s">
        <v>41</v>
      </c>
      <c r="E1944" s="7" t="s">
        <v>12</v>
      </c>
    </row>
    <row r="1945" spans="1:5" ht="12.75">
      <c r="A1945" s="6" t="str">
        <f>HYPERLINK(SUBSTITUTE(T(hl_0),"{0}","321329968787071"),hn_0)</f>
        <v>ОВ</v>
      </c>
      <c r="B1945" s="7" t="s">
        <v>547</v>
      </c>
      <c r="C1945" s="8">
        <v>9060</v>
      </c>
      <c r="D1945" s="7" t="s">
        <v>18</v>
      </c>
      <c r="E1945" s="7" t="s">
        <v>19</v>
      </c>
    </row>
    <row r="1946" spans="1:5" ht="12.75">
      <c r="A1946" s="6" t="str">
        <f>HYPERLINK(SUBSTITUTE(T(hl_0),"{0}","900332731216049"),hn_0)</f>
        <v>ОВ</v>
      </c>
      <c r="B1946" s="7" t="s">
        <v>547</v>
      </c>
      <c r="C1946" s="8">
        <v>10000</v>
      </c>
      <c r="D1946" s="7" t="s">
        <v>11</v>
      </c>
      <c r="E1946" s="7" t="s">
        <v>20</v>
      </c>
    </row>
    <row r="1947" spans="1:5" ht="12.75">
      <c r="A1947" s="6" t="str">
        <f>HYPERLINK(SUBSTITUTE(T(hl_0),"{0}","900332583584144"),hn_0)</f>
        <v>ОВ</v>
      </c>
      <c r="B1947" s="7" t="s">
        <v>547</v>
      </c>
      <c r="C1947" s="8">
        <v>11000</v>
      </c>
      <c r="D1947" s="7" t="s">
        <v>11</v>
      </c>
      <c r="E1947" s="7" t="s">
        <v>20</v>
      </c>
    </row>
    <row r="1948" spans="1:5" ht="12.75">
      <c r="A1948" s="6" t="str">
        <f>HYPERLINK(SUBSTITUTE(T(hl_0),"{0}","900332583540722"),hn_0)</f>
        <v>ОВ</v>
      </c>
      <c r="B1948" s="7" t="s">
        <v>547</v>
      </c>
      <c r="C1948" s="8">
        <v>11000</v>
      </c>
      <c r="D1948" s="7" t="s">
        <v>11</v>
      </c>
      <c r="E1948" s="7" t="s">
        <v>20</v>
      </c>
    </row>
    <row r="1949" spans="1:5" ht="12.75">
      <c r="A1949" s="6" t="str">
        <f>HYPERLINK(SUBSTITUTE(T(hl_0),"{0}","900332418001385"),hn_0)</f>
        <v>ОВ</v>
      </c>
      <c r="B1949" s="7" t="s">
        <v>547</v>
      </c>
      <c r="C1949" s="8">
        <v>11000</v>
      </c>
      <c r="D1949" s="7" t="s">
        <v>11</v>
      </c>
      <c r="E1949" s="7" t="s">
        <v>20</v>
      </c>
    </row>
    <row r="1950" spans="1:5" ht="12.75">
      <c r="A1950" s="6" t="str">
        <f>HYPERLINK(SUBSTITUTE(T(hl_0),"{0}","900332677261260"),hn_0)</f>
        <v>ОВ</v>
      </c>
      <c r="B1950" s="7" t="s">
        <v>548</v>
      </c>
      <c r="C1950" s="8">
        <v>5000</v>
      </c>
      <c r="D1950" s="7" t="s">
        <v>11</v>
      </c>
      <c r="E1950" s="7" t="s">
        <v>20</v>
      </c>
    </row>
    <row r="1951" spans="1:5" ht="12.75">
      <c r="A1951" s="6" t="str">
        <f>HYPERLINK(SUBSTITUTE(T(hl_0),"{0}","325332079310729"),hn_0)</f>
        <v>ОВ</v>
      </c>
      <c r="B1951" s="7" t="s">
        <v>549</v>
      </c>
      <c r="C1951" s="8">
        <v>7500</v>
      </c>
      <c r="D1951" s="7" t="s">
        <v>34</v>
      </c>
      <c r="E1951" s="7" t="s">
        <v>27</v>
      </c>
    </row>
    <row r="1952" spans="1:5" ht="12.75">
      <c r="A1952" s="6" t="str">
        <f>HYPERLINK(SUBSTITUTE(T(hl_0),"{0}","900332416730779"),hn_0)</f>
        <v>ОВ</v>
      </c>
      <c r="B1952" s="7" t="s">
        <v>549</v>
      </c>
      <c r="C1952" s="8">
        <v>5000</v>
      </c>
      <c r="D1952" s="7" t="s">
        <v>550</v>
      </c>
      <c r="E1952" s="7" t="s">
        <v>20</v>
      </c>
    </row>
    <row r="1953" spans="1:5" ht="12.75">
      <c r="A1953" s="6" t="str">
        <f>HYPERLINK(SUBSTITUTE(T(hl_0),"{0}","900332416730779"),hn_0)</f>
        <v>ОВ</v>
      </c>
      <c r="B1953" s="7" t="s">
        <v>549</v>
      </c>
      <c r="C1953" s="8">
        <v>5000</v>
      </c>
      <c r="D1953" s="7" t="s">
        <v>550</v>
      </c>
      <c r="E1953" s="7" t="s">
        <v>20</v>
      </c>
    </row>
    <row r="1954" spans="1:5" ht="12.75">
      <c r="A1954" s="6" t="str">
        <f>HYPERLINK(SUBSTITUTE(T(hl_0),"{0}","900332416730779"),hn_0)</f>
        <v>ОВ</v>
      </c>
      <c r="B1954" s="7" t="s">
        <v>549</v>
      </c>
      <c r="C1954" s="8">
        <v>5000</v>
      </c>
      <c r="D1954" s="7" t="s">
        <v>550</v>
      </c>
      <c r="E1954" s="7" t="s">
        <v>20</v>
      </c>
    </row>
    <row r="1955" spans="1:5" ht="12.75">
      <c r="A1955" s="6" t="str">
        <f>HYPERLINK(SUBSTITUTE(T(hl_0),"{0}","900332416706664"),hn_0)</f>
        <v>ОВ</v>
      </c>
      <c r="B1955" s="7" t="s">
        <v>549</v>
      </c>
      <c r="C1955" s="8">
        <v>5000</v>
      </c>
      <c r="D1955" s="7" t="s">
        <v>550</v>
      </c>
      <c r="E1955" s="7" t="s">
        <v>20</v>
      </c>
    </row>
    <row r="1956" spans="1:5" ht="12.75">
      <c r="A1956" s="6" t="str">
        <f>HYPERLINK(SUBSTITUTE(T(hl_0),"{0}","900332416706664"),hn_0)</f>
        <v>ОВ</v>
      </c>
      <c r="B1956" s="7" t="s">
        <v>549</v>
      </c>
      <c r="C1956" s="8">
        <v>5000</v>
      </c>
      <c r="D1956" s="7" t="s">
        <v>550</v>
      </c>
      <c r="E1956" s="7" t="s">
        <v>20</v>
      </c>
    </row>
    <row r="1957" spans="1:5" ht="12.75">
      <c r="A1957" s="6" t="str">
        <f>HYPERLINK(SUBSTITUTE(T(hl_0),"{0}","900332416706664"),hn_0)</f>
        <v>ОВ</v>
      </c>
      <c r="B1957" s="7" t="s">
        <v>549</v>
      </c>
      <c r="C1957" s="8">
        <v>5000</v>
      </c>
      <c r="D1957" s="7" t="s">
        <v>550</v>
      </c>
      <c r="E1957" s="7" t="s">
        <v>20</v>
      </c>
    </row>
    <row r="1958" spans="1:5" ht="12.75">
      <c r="A1958" s="6" t="str">
        <f>HYPERLINK(SUBSTITUTE(T(hl_0),"{0}","900332504595513"),hn_0)</f>
        <v>ОВ</v>
      </c>
      <c r="B1958" s="7" t="s">
        <v>551</v>
      </c>
      <c r="C1958" s="8">
        <v>5000</v>
      </c>
      <c r="D1958" s="7" t="s">
        <v>53</v>
      </c>
      <c r="E1958" s="7" t="s">
        <v>20</v>
      </c>
    </row>
    <row r="1959" spans="1:5" ht="12.75">
      <c r="A1959" s="6" t="str">
        <f>HYPERLINK(SUBSTITUTE(T(hl_0),"{0}","900332173387891"),hn_0)</f>
        <v>ОВ</v>
      </c>
      <c r="B1959" s="7" t="s">
        <v>551</v>
      </c>
      <c r="C1959" s="8">
        <v>5000</v>
      </c>
      <c r="D1959" s="7" t="s">
        <v>11</v>
      </c>
      <c r="E1959" s="7" t="s">
        <v>20</v>
      </c>
    </row>
    <row r="1960" spans="1:5" ht="12.75">
      <c r="A1960" s="6" t="str">
        <f>HYPERLINK(SUBSTITUTE(T(hl_0),"{0}","900327181933795"),hn_0)</f>
        <v>ОВ</v>
      </c>
      <c r="B1960" s="7" t="s">
        <v>551</v>
      </c>
      <c r="C1960" s="8">
        <v>5000</v>
      </c>
      <c r="D1960" s="7" t="s">
        <v>11</v>
      </c>
      <c r="E1960" s="7" t="s">
        <v>20</v>
      </c>
    </row>
    <row r="1961" spans="1:5" ht="12.75">
      <c r="A1961" s="6" t="str">
        <f>HYPERLINK(SUBSTITUTE(T(hl_0),"{0}","900330467226490"),hn_0)</f>
        <v>ОВ</v>
      </c>
      <c r="B1961" s="7" t="s">
        <v>551</v>
      </c>
      <c r="C1961" s="8">
        <v>5700</v>
      </c>
      <c r="D1961" s="7" t="s">
        <v>430</v>
      </c>
      <c r="E1961" s="7" t="s">
        <v>20</v>
      </c>
    </row>
    <row r="1962" spans="1:5" ht="12.75">
      <c r="A1962" s="6" t="str">
        <f>HYPERLINK(SUBSTITUTE(T(hl_0),"{0}","900330467226490"),hn_0)</f>
        <v>ОВ</v>
      </c>
      <c r="B1962" s="7" t="s">
        <v>551</v>
      </c>
      <c r="C1962" s="8">
        <v>5700</v>
      </c>
      <c r="D1962" s="7" t="s">
        <v>430</v>
      </c>
      <c r="E1962" s="7" t="s">
        <v>20</v>
      </c>
    </row>
    <row r="1963" spans="1:5" ht="12.75">
      <c r="A1963" s="6" t="str">
        <f>HYPERLINK(SUBSTITUTE(T(hl_0),"{0}","900330467109069"),hn_0)</f>
        <v>ОВ</v>
      </c>
      <c r="B1963" s="7" t="s">
        <v>551</v>
      </c>
      <c r="C1963" s="8">
        <v>5700</v>
      </c>
      <c r="D1963" s="7" t="s">
        <v>430</v>
      </c>
      <c r="E1963" s="7" t="s">
        <v>20</v>
      </c>
    </row>
    <row r="1964" spans="1:5" ht="12.75">
      <c r="A1964" s="6" t="str">
        <f>HYPERLINK(SUBSTITUTE(T(hl_0),"{0}","900330467109069"),hn_0)</f>
        <v>ОВ</v>
      </c>
      <c r="B1964" s="7" t="s">
        <v>551</v>
      </c>
      <c r="C1964" s="8">
        <v>5700</v>
      </c>
      <c r="D1964" s="7" t="s">
        <v>430</v>
      </c>
      <c r="E1964" s="7" t="s">
        <v>20</v>
      </c>
    </row>
    <row r="1965" spans="1:5" ht="12.75">
      <c r="A1965" s="6" t="str">
        <f>HYPERLINK(SUBSTITUTE(T(hl_0),"{0}","331332826491010"),hn_0)</f>
        <v>ОВ</v>
      </c>
      <c r="B1965" s="7" t="s">
        <v>552</v>
      </c>
      <c r="C1965" s="8">
        <v>8000</v>
      </c>
      <c r="D1965" s="7" t="s">
        <v>37</v>
      </c>
      <c r="E1965" s="7" t="s">
        <v>195</v>
      </c>
    </row>
    <row r="1966" spans="1:5" ht="12.75">
      <c r="A1966" s="6" t="str">
        <f>HYPERLINK(SUBSTITUTE(T(hl_0),"{0}","900329090333719"),hn_0)</f>
        <v>ОВ</v>
      </c>
      <c r="B1966" s="7" t="s">
        <v>552</v>
      </c>
      <c r="C1966" s="8">
        <v>9000</v>
      </c>
      <c r="D1966" s="7" t="s">
        <v>11</v>
      </c>
      <c r="E1966" s="7" t="s">
        <v>20</v>
      </c>
    </row>
    <row r="1967" spans="1:5" ht="12.75">
      <c r="A1967" s="6" t="str">
        <f>HYPERLINK(SUBSTITUTE(T(hl_0),"{0}","900329090460349"),hn_0)</f>
        <v>ОВ</v>
      </c>
      <c r="B1967" s="7" t="s">
        <v>552</v>
      </c>
      <c r="C1967" s="8">
        <v>7800</v>
      </c>
      <c r="D1967" s="7" t="s">
        <v>11</v>
      </c>
      <c r="E1967" s="7" t="s">
        <v>20</v>
      </c>
    </row>
    <row r="1968" spans="1:5" ht="12.75">
      <c r="A1968" s="6" t="str">
        <f>HYPERLINK(SUBSTITUTE(T(hl_0),"{0}","900329090625890"),hn_0)</f>
        <v>ОВ</v>
      </c>
      <c r="B1968" s="7" t="s">
        <v>552</v>
      </c>
      <c r="C1968" s="8">
        <v>7200</v>
      </c>
      <c r="D1968" s="7" t="s">
        <v>11</v>
      </c>
      <c r="E1968" s="7" t="s">
        <v>20</v>
      </c>
    </row>
    <row r="1969" spans="1:5" ht="12.75">
      <c r="A1969" s="6" t="str">
        <f>HYPERLINK(SUBSTITUTE(T(hl_0),"{0}","321328134583852"),hn_0)</f>
        <v>ОВ</v>
      </c>
      <c r="B1969" s="7" t="s">
        <v>553</v>
      </c>
      <c r="C1969" s="8">
        <v>6000</v>
      </c>
      <c r="D1969" s="7" t="s">
        <v>23</v>
      </c>
      <c r="E1969" s="7" t="s">
        <v>19</v>
      </c>
    </row>
    <row r="1970" spans="1:5" ht="12.75">
      <c r="A1970" s="6" t="str">
        <f>HYPERLINK(SUBSTITUTE(T(hl_0),"{0}","900332194582622"),hn_0)</f>
        <v>ОВ</v>
      </c>
      <c r="B1970" s="7" t="s">
        <v>553</v>
      </c>
      <c r="C1970" s="8">
        <v>5000</v>
      </c>
      <c r="D1970" s="7" t="s">
        <v>554</v>
      </c>
      <c r="E1970" s="7" t="s">
        <v>20</v>
      </c>
    </row>
    <row r="1971" spans="1:5" ht="12.75">
      <c r="A1971" s="6" t="str">
        <f>HYPERLINK(SUBSTITUTE(T(hl_0),"{0}","319331390772483"),hn_0)</f>
        <v>ОВ</v>
      </c>
      <c r="B1971" s="7" t="s">
        <v>555</v>
      </c>
      <c r="C1971" s="8">
        <v>5000</v>
      </c>
      <c r="D1971" s="7" t="s">
        <v>14</v>
      </c>
      <c r="E1971" s="7" t="s">
        <v>15</v>
      </c>
    </row>
    <row r="1972" spans="1:5" ht="12.75">
      <c r="A1972" s="6" t="str">
        <f>HYPERLINK(SUBSTITUTE(T(hl_0),"{0}","900332344205054"),hn_0)</f>
        <v>ОВ</v>
      </c>
      <c r="B1972" s="7" t="s">
        <v>556</v>
      </c>
      <c r="C1972" s="8">
        <v>6000</v>
      </c>
      <c r="D1972" s="7" t="s">
        <v>11</v>
      </c>
      <c r="E1972" s="7" t="s">
        <v>20</v>
      </c>
    </row>
    <row r="1973" spans="1:5" ht="12.75">
      <c r="A1973" s="6" t="str">
        <f>HYPERLINK(SUBSTITUTE(T(hl_0),"{0}","900332707171414"),hn_0)</f>
        <v>ОВ</v>
      </c>
      <c r="B1973" s="7" t="s">
        <v>556</v>
      </c>
      <c r="C1973" s="8">
        <v>5000</v>
      </c>
      <c r="D1973" s="7" t="s">
        <v>11</v>
      </c>
      <c r="E1973" s="7" t="s">
        <v>20</v>
      </c>
    </row>
    <row r="1974" spans="1:5" ht="12.75">
      <c r="A1974" s="6" t="str">
        <f>HYPERLINK(SUBSTITUTE(T(hl_0),"{0}","900332707180021"),hn_0)</f>
        <v>ОВ</v>
      </c>
      <c r="B1974" s="7" t="s">
        <v>556</v>
      </c>
      <c r="C1974" s="8">
        <v>5000</v>
      </c>
      <c r="D1974" s="7" t="s">
        <v>11</v>
      </c>
      <c r="E1974" s="7" t="s">
        <v>20</v>
      </c>
    </row>
    <row r="1975" spans="1:5" ht="12.75">
      <c r="A1975" s="6" t="str">
        <f>HYPERLINK(SUBSTITUTE(T(hl_0),"{0}","900332707180031"),hn_0)</f>
        <v>ОВ</v>
      </c>
      <c r="B1975" s="7" t="s">
        <v>556</v>
      </c>
      <c r="C1975" s="8">
        <v>5000</v>
      </c>
      <c r="D1975" s="7" t="s">
        <v>11</v>
      </c>
      <c r="E1975" s="7" t="s">
        <v>20</v>
      </c>
    </row>
    <row r="1976" spans="1:5" ht="12.75">
      <c r="A1976" s="6" t="str">
        <f>HYPERLINK(SUBSTITUTE(T(hl_0),"{0}","900332676619371"),hn_0)</f>
        <v>ОВ</v>
      </c>
      <c r="B1976" s="7" t="s">
        <v>557</v>
      </c>
      <c r="C1976" s="8">
        <v>6720</v>
      </c>
      <c r="D1976" s="7" t="s">
        <v>11</v>
      </c>
      <c r="E1976" s="7" t="s">
        <v>20</v>
      </c>
    </row>
    <row r="1977" spans="1:5" ht="12.75">
      <c r="A1977" s="6" t="str">
        <f>HYPERLINK(SUBSTITUTE(T(hl_0),"{0}","319332704425252"),hn_0)</f>
        <v>ОВ</v>
      </c>
      <c r="B1977" s="7" t="s">
        <v>558</v>
      </c>
      <c r="C1977" s="8">
        <v>6000</v>
      </c>
      <c r="D1977" s="7" t="s">
        <v>14</v>
      </c>
      <c r="E1977" s="7" t="s">
        <v>15</v>
      </c>
    </row>
    <row r="1978" spans="1:5" ht="12.75">
      <c r="A1978" s="6" t="str">
        <f>HYPERLINK(SUBSTITUTE(T(hl_0),"{0}","319332704425252"),hn_0)</f>
        <v>ОВ</v>
      </c>
      <c r="B1978" s="7" t="s">
        <v>558</v>
      </c>
      <c r="C1978" s="8">
        <v>6000</v>
      </c>
      <c r="D1978" s="7" t="s">
        <v>14</v>
      </c>
      <c r="E1978" s="7" t="s">
        <v>15</v>
      </c>
    </row>
    <row r="1979" spans="1:5" ht="12.75">
      <c r="A1979" s="6" t="str">
        <f>HYPERLINK(SUBSTITUTE(T(hl_0),"{0}","319332704425270"),hn_0)</f>
        <v>ОВ</v>
      </c>
      <c r="B1979" s="7" t="s">
        <v>558</v>
      </c>
      <c r="C1979" s="8">
        <v>6000</v>
      </c>
      <c r="D1979" s="7" t="s">
        <v>14</v>
      </c>
      <c r="E1979" s="7" t="s">
        <v>15</v>
      </c>
    </row>
    <row r="1980" spans="1:5" ht="12.75">
      <c r="A1980" s="6" t="str">
        <f>HYPERLINK(SUBSTITUTE(T(hl_0),"{0}","319332704425270"),hn_0)</f>
        <v>ОВ</v>
      </c>
      <c r="B1980" s="7" t="s">
        <v>558</v>
      </c>
      <c r="C1980" s="8">
        <v>6000</v>
      </c>
      <c r="D1980" s="7" t="s">
        <v>14</v>
      </c>
      <c r="E1980" s="7" t="s">
        <v>15</v>
      </c>
    </row>
    <row r="1981" spans="1:5" ht="12.75">
      <c r="A1981" s="6" t="str">
        <f>HYPERLINK(SUBSTITUTE(T(hl_0),"{0}","319332704425258"),hn_0)</f>
        <v>ОВ</v>
      </c>
      <c r="B1981" s="7" t="s">
        <v>558</v>
      </c>
      <c r="C1981" s="8">
        <v>6000</v>
      </c>
      <c r="D1981" s="7" t="s">
        <v>14</v>
      </c>
      <c r="E1981" s="7" t="s">
        <v>15</v>
      </c>
    </row>
    <row r="1982" spans="1:5" ht="12.75">
      <c r="A1982" s="6" t="str">
        <f>HYPERLINK(SUBSTITUTE(T(hl_0),"{0}","319332704425258"),hn_0)</f>
        <v>ОВ</v>
      </c>
      <c r="B1982" s="7" t="s">
        <v>558</v>
      </c>
      <c r="C1982" s="8">
        <v>6000</v>
      </c>
      <c r="D1982" s="7" t="s">
        <v>14</v>
      </c>
      <c r="E1982" s="7" t="s">
        <v>15</v>
      </c>
    </row>
    <row r="1983" spans="1:5" ht="12.75">
      <c r="A1983" s="6" t="str">
        <f>HYPERLINK(SUBSTITUTE(T(hl_0),"{0}","319332704425264"),hn_0)</f>
        <v>ОВ</v>
      </c>
      <c r="B1983" s="7" t="s">
        <v>558</v>
      </c>
      <c r="C1983" s="8">
        <v>6000</v>
      </c>
      <c r="D1983" s="7" t="s">
        <v>14</v>
      </c>
      <c r="E1983" s="7" t="s">
        <v>15</v>
      </c>
    </row>
    <row r="1984" spans="1:5" ht="12.75">
      <c r="A1984" s="6" t="str">
        <f>HYPERLINK(SUBSTITUTE(T(hl_0),"{0}","319332704425264"),hn_0)</f>
        <v>ОВ</v>
      </c>
      <c r="B1984" s="7" t="s">
        <v>558</v>
      </c>
      <c r="C1984" s="8">
        <v>6000</v>
      </c>
      <c r="D1984" s="7" t="s">
        <v>14</v>
      </c>
      <c r="E1984" s="7" t="s">
        <v>15</v>
      </c>
    </row>
    <row r="1985" spans="1:5" ht="12.75">
      <c r="A1985" s="6" t="str">
        <f>HYPERLINK(SUBSTITUTE(T(hl_0),"{0}","319332704425324"),hn_0)</f>
        <v>ОВ</v>
      </c>
      <c r="B1985" s="7" t="s">
        <v>558</v>
      </c>
      <c r="C1985" s="8">
        <v>6000</v>
      </c>
      <c r="D1985" s="7" t="s">
        <v>14</v>
      </c>
      <c r="E1985" s="7" t="s">
        <v>15</v>
      </c>
    </row>
    <row r="1986" spans="1:5" ht="12.75">
      <c r="A1986" s="6" t="str">
        <f>HYPERLINK(SUBSTITUTE(T(hl_0),"{0}","319332704425324"),hn_0)</f>
        <v>ОВ</v>
      </c>
      <c r="B1986" s="7" t="s">
        <v>558</v>
      </c>
      <c r="C1986" s="8">
        <v>6000</v>
      </c>
      <c r="D1986" s="7" t="s">
        <v>14</v>
      </c>
      <c r="E1986" s="7" t="s">
        <v>15</v>
      </c>
    </row>
    <row r="1987" spans="1:5" ht="12.75">
      <c r="A1987" s="6" t="str">
        <f>HYPERLINK(SUBSTITUTE(T(hl_0),"{0}","319332704425340"),hn_0)</f>
        <v>ОВ</v>
      </c>
      <c r="B1987" s="7" t="s">
        <v>558</v>
      </c>
      <c r="C1987" s="8">
        <v>6000</v>
      </c>
      <c r="D1987" s="7" t="s">
        <v>14</v>
      </c>
      <c r="E1987" s="7" t="s">
        <v>15</v>
      </c>
    </row>
    <row r="1988" spans="1:5" ht="12.75">
      <c r="A1988" s="6" t="str">
        <f>HYPERLINK(SUBSTITUTE(T(hl_0),"{0}","319332704425340"),hn_0)</f>
        <v>ОВ</v>
      </c>
      <c r="B1988" s="7" t="s">
        <v>558</v>
      </c>
      <c r="C1988" s="8">
        <v>6000</v>
      </c>
      <c r="D1988" s="7" t="s">
        <v>14</v>
      </c>
      <c r="E1988" s="7" t="s">
        <v>15</v>
      </c>
    </row>
    <row r="1989" spans="1:5" ht="12.75">
      <c r="A1989" s="6" t="str">
        <f>HYPERLINK(SUBSTITUTE(T(hl_0),"{0}","319332704425331"),hn_0)</f>
        <v>ОВ</v>
      </c>
      <c r="B1989" s="7" t="s">
        <v>558</v>
      </c>
      <c r="C1989" s="8">
        <v>6000</v>
      </c>
      <c r="D1989" s="7" t="s">
        <v>14</v>
      </c>
      <c r="E1989" s="7" t="s">
        <v>15</v>
      </c>
    </row>
    <row r="1990" spans="1:5" ht="12.75">
      <c r="A1990" s="6" t="str">
        <f>HYPERLINK(SUBSTITUTE(T(hl_0),"{0}","319332704425331"),hn_0)</f>
        <v>ОВ</v>
      </c>
      <c r="B1990" s="7" t="s">
        <v>558</v>
      </c>
      <c r="C1990" s="8">
        <v>6000</v>
      </c>
      <c r="D1990" s="7" t="s">
        <v>14</v>
      </c>
      <c r="E1990" s="7" t="s">
        <v>15</v>
      </c>
    </row>
    <row r="1991" spans="1:5" ht="12.75">
      <c r="A1991" s="6" t="str">
        <f>HYPERLINK(SUBSTITUTE(T(hl_0),"{0}","319332704425276"),hn_0)</f>
        <v>ОВ</v>
      </c>
      <c r="B1991" s="7" t="s">
        <v>558</v>
      </c>
      <c r="C1991" s="8">
        <v>6000</v>
      </c>
      <c r="D1991" s="7" t="s">
        <v>14</v>
      </c>
      <c r="E1991" s="7" t="s">
        <v>15</v>
      </c>
    </row>
    <row r="1992" spans="1:5" ht="12.75">
      <c r="A1992" s="6" t="str">
        <f>HYPERLINK(SUBSTITUTE(T(hl_0),"{0}","319332704425276"),hn_0)</f>
        <v>ОВ</v>
      </c>
      <c r="B1992" s="7" t="s">
        <v>558</v>
      </c>
      <c r="C1992" s="8">
        <v>6000</v>
      </c>
      <c r="D1992" s="7" t="s">
        <v>14</v>
      </c>
      <c r="E1992" s="7" t="s">
        <v>15</v>
      </c>
    </row>
    <row r="1993" spans="1:5" ht="12.75">
      <c r="A1993" s="6" t="str">
        <f>HYPERLINK(SUBSTITUTE(T(hl_0),"{0}","900332583116825"),hn_0)</f>
        <v>ОВ</v>
      </c>
      <c r="B1993" s="7" t="s">
        <v>559</v>
      </c>
      <c r="C1993" s="8">
        <v>8000</v>
      </c>
      <c r="D1993" s="7" t="s">
        <v>53</v>
      </c>
      <c r="E1993" s="7" t="s">
        <v>20</v>
      </c>
    </row>
    <row r="1994" spans="1:5" ht="12.75">
      <c r="A1994" s="6" t="str">
        <f>HYPERLINK(SUBSTITUTE(T(hl_0),"{0}","900332583143053"),hn_0)</f>
        <v>ОВ</v>
      </c>
      <c r="B1994" s="7" t="s">
        <v>559</v>
      </c>
      <c r="C1994" s="8">
        <v>8000</v>
      </c>
      <c r="D1994" s="7" t="s">
        <v>53</v>
      </c>
      <c r="E1994" s="7" t="s">
        <v>20</v>
      </c>
    </row>
    <row r="1995" spans="1:5" ht="12.75">
      <c r="A1995" s="6" t="str">
        <f>HYPERLINK(SUBSTITUTE(T(hl_0),"{0}","900332583143061"),hn_0)</f>
        <v>ОВ</v>
      </c>
      <c r="B1995" s="7" t="s">
        <v>559</v>
      </c>
      <c r="C1995" s="8">
        <v>8000</v>
      </c>
      <c r="D1995" s="7" t="s">
        <v>53</v>
      </c>
      <c r="E1995" s="7" t="s">
        <v>20</v>
      </c>
    </row>
    <row r="1996" spans="1:5" ht="12.75">
      <c r="A1996" s="6" t="str">
        <f>HYPERLINK(SUBSTITUTE(T(hl_0),"{0}","327332053316449"),hn_0)</f>
        <v>ОВ</v>
      </c>
      <c r="B1996" s="7" t="s">
        <v>560</v>
      </c>
      <c r="C1996" s="8">
        <v>10000</v>
      </c>
      <c r="D1996" s="7" t="s">
        <v>11</v>
      </c>
      <c r="E1996" s="7" t="s">
        <v>12</v>
      </c>
    </row>
    <row r="1997" spans="1:5" ht="12.75">
      <c r="A1997" s="6" t="str">
        <f>HYPERLINK(SUBSTITUTE(T(hl_0),"{0}","327332053313519"),hn_0)</f>
        <v>ОВ</v>
      </c>
      <c r="B1997" s="7" t="s">
        <v>560</v>
      </c>
      <c r="C1997" s="8">
        <v>10000</v>
      </c>
      <c r="D1997" s="7" t="s">
        <v>11</v>
      </c>
      <c r="E1997" s="7" t="s">
        <v>12</v>
      </c>
    </row>
    <row r="1998" spans="1:5" ht="12.75">
      <c r="A1998" s="6" t="str">
        <f>HYPERLINK(SUBSTITUTE(T(hl_0),"{0}","334331819690313"),hn_0)</f>
        <v>ОВ</v>
      </c>
      <c r="B1998" s="7" t="s">
        <v>560</v>
      </c>
      <c r="C1998" s="8">
        <v>5500</v>
      </c>
      <c r="D1998" s="7" t="s">
        <v>208</v>
      </c>
      <c r="E1998" s="7" t="s">
        <v>209</v>
      </c>
    </row>
    <row r="1999" spans="1:5" ht="12.75">
      <c r="A1999" s="6" t="str">
        <f>HYPERLINK(SUBSTITUTE(T(hl_0),"{0}","900331651143769"),hn_0)</f>
        <v>ОВ</v>
      </c>
      <c r="B1999" s="7" t="s">
        <v>560</v>
      </c>
      <c r="C1999" s="8">
        <v>7000</v>
      </c>
      <c r="D1999" s="7" t="s">
        <v>11</v>
      </c>
      <c r="E1999" s="7" t="s">
        <v>20</v>
      </c>
    </row>
    <row r="2000" spans="1:5" ht="12.75">
      <c r="A2000" s="6" t="str">
        <f>HYPERLINK(SUBSTITUTE(T(hl_0),"{0}","900331651421831"),hn_0)</f>
        <v>ОВ</v>
      </c>
      <c r="B2000" s="7" t="s">
        <v>560</v>
      </c>
      <c r="C2000" s="8">
        <v>7500</v>
      </c>
      <c r="D2000" s="7" t="s">
        <v>11</v>
      </c>
      <c r="E2000" s="7" t="s">
        <v>20</v>
      </c>
    </row>
    <row r="2001" spans="1:5" ht="12.75">
      <c r="A2001" s="6" t="str">
        <f>HYPERLINK(SUBSTITUTE(T(hl_0),"{0}","900327206689364"),hn_0)</f>
        <v>ОВ</v>
      </c>
      <c r="B2001" s="7" t="s">
        <v>560</v>
      </c>
      <c r="C2001" s="8">
        <v>6000</v>
      </c>
      <c r="D2001" s="7" t="s">
        <v>217</v>
      </c>
      <c r="E2001" s="7" t="s">
        <v>20</v>
      </c>
    </row>
    <row r="2002" spans="1:5" ht="12.75">
      <c r="A2002" s="6" t="str">
        <f>HYPERLINK(SUBSTITUTE(T(hl_0),"{0}","900327206650502"),hn_0)</f>
        <v>ОВ</v>
      </c>
      <c r="B2002" s="7" t="s">
        <v>560</v>
      </c>
      <c r="C2002" s="8">
        <v>6000</v>
      </c>
      <c r="D2002" s="7" t="s">
        <v>11</v>
      </c>
      <c r="E2002" s="7" t="s">
        <v>20</v>
      </c>
    </row>
    <row r="2003" spans="1:5" ht="12.75">
      <c r="A2003" s="6" t="str">
        <f>HYPERLINK(SUBSTITUTE(T(hl_0),"{0}","900327206684119"),hn_0)</f>
        <v>ОВ</v>
      </c>
      <c r="B2003" s="7" t="s">
        <v>560</v>
      </c>
      <c r="C2003" s="8">
        <v>6000</v>
      </c>
      <c r="D2003" s="7" t="s">
        <v>11</v>
      </c>
      <c r="E2003" s="7" t="s">
        <v>20</v>
      </c>
    </row>
    <row r="2004" spans="1:5" ht="12.75">
      <c r="A2004" s="6" t="str">
        <f>HYPERLINK(SUBSTITUTE(T(hl_0),"{0}","900327206628532"),hn_0)</f>
        <v>ОВ</v>
      </c>
      <c r="B2004" s="7" t="s">
        <v>560</v>
      </c>
      <c r="C2004" s="8">
        <v>6000</v>
      </c>
      <c r="D2004" s="7" t="s">
        <v>217</v>
      </c>
      <c r="E2004" s="7" t="s">
        <v>20</v>
      </c>
    </row>
    <row r="2005" spans="1:5" ht="12.75">
      <c r="A2005" s="6" t="str">
        <f>HYPERLINK(SUBSTITUTE(T(hl_0),"{0}","900331849650702"),hn_0)</f>
        <v>ОВ</v>
      </c>
      <c r="B2005" s="7" t="s">
        <v>561</v>
      </c>
      <c r="C2005" s="8">
        <v>6000</v>
      </c>
      <c r="D2005" s="7" t="s">
        <v>11</v>
      </c>
      <c r="E2005" s="7" t="s">
        <v>20</v>
      </c>
    </row>
    <row r="2006" spans="1:5" ht="12.75">
      <c r="A2006" s="6" t="str">
        <f>HYPERLINK(SUBSTITUTE(T(hl_0),"{0}","319330495344053"),hn_0)</f>
        <v>ОВ</v>
      </c>
      <c r="B2006" s="7" t="s">
        <v>562</v>
      </c>
      <c r="C2006" s="8">
        <v>5000</v>
      </c>
      <c r="D2006" s="7" t="s">
        <v>14</v>
      </c>
      <c r="E2006" s="7" t="s">
        <v>15</v>
      </c>
    </row>
    <row r="2007" spans="1:5" ht="12.75">
      <c r="A2007" s="6" t="str">
        <f>HYPERLINK(SUBSTITUTE(T(hl_0),"{0}","900332344163414"),hn_0)</f>
        <v>ОВ</v>
      </c>
      <c r="B2007" s="7" t="s">
        <v>563</v>
      </c>
      <c r="C2007" s="8">
        <v>6000</v>
      </c>
      <c r="D2007" s="7" t="s">
        <v>11</v>
      </c>
      <c r="E2007" s="7" t="s">
        <v>20</v>
      </c>
    </row>
    <row r="2008" spans="1:5" ht="12.75">
      <c r="A2008" s="6" t="str">
        <f>HYPERLINK(SUBSTITUTE(T(hl_0),"{0}","900332344100350"),hn_0)</f>
        <v>ОВ</v>
      </c>
      <c r="B2008" s="7" t="s">
        <v>563</v>
      </c>
      <c r="C2008" s="8">
        <v>6000</v>
      </c>
      <c r="D2008" s="7" t="s">
        <v>11</v>
      </c>
      <c r="E2008" s="7" t="s">
        <v>20</v>
      </c>
    </row>
    <row r="2009" spans="1:5" ht="25.5">
      <c r="A2009" s="6" t="str">
        <f>HYPERLINK(SUBSTITUTE(T(hl_0),"{0}","900327939904984"),hn_0)</f>
        <v>ОВ</v>
      </c>
      <c r="B2009" s="7" t="s">
        <v>564</v>
      </c>
      <c r="C2009" s="8">
        <v>12000</v>
      </c>
      <c r="D2009" s="7" t="s">
        <v>11</v>
      </c>
      <c r="E2009" s="7" t="s">
        <v>20</v>
      </c>
    </row>
    <row r="2010" spans="1:5" ht="12.75">
      <c r="A2010" s="6" t="str">
        <f>HYPERLINK(SUBSTITUTE(T(hl_0),"{0}","325331452744414"),hn_0)</f>
        <v>ОВ</v>
      </c>
      <c r="B2010" s="7" t="s">
        <v>565</v>
      </c>
      <c r="C2010" s="8">
        <v>5000</v>
      </c>
      <c r="D2010" s="7" t="s">
        <v>34</v>
      </c>
      <c r="E2010" s="7" t="s">
        <v>27</v>
      </c>
    </row>
    <row r="2011" spans="1:5" ht="12.75">
      <c r="A2011" s="6" t="str">
        <f>HYPERLINK(SUBSTITUTE(T(hl_0),"{0}","334332530743559"),hn_0)</f>
        <v>ОВ</v>
      </c>
      <c r="B2011" s="7" t="s">
        <v>565</v>
      </c>
      <c r="C2011" s="8">
        <v>5500</v>
      </c>
      <c r="D2011" s="7" t="s">
        <v>208</v>
      </c>
      <c r="E2011" s="7" t="s">
        <v>209</v>
      </c>
    </row>
    <row r="2012" spans="1:5" ht="12.75">
      <c r="A2012" s="6" t="str">
        <f>HYPERLINK(SUBSTITUTE(T(hl_0),"{0}","325332732860192"),hn_0)</f>
        <v>ОВ</v>
      </c>
      <c r="B2012" s="7" t="s">
        <v>566</v>
      </c>
      <c r="C2012" s="8">
        <v>13000</v>
      </c>
      <c r="D2012" s="7" t="s">
        <v>34</v>
      </c>
      <c r="E2012" s="7" t="s">
        <v>27</v>
      </c>
    </row>
    <row r="2013" spans="1:5" ht="12.75">
      <c r="A2013" s="6" t="str">
        <f>HYPERLINK(SUBSTITUTE(T(hl_0),"{0}","900328109860149"),hn_0)</f>
        <v>ОВ</v>
      </c>
      <c r="B2013" s="7" t="s">
        <v>566</v>
      </c>
      <c r="C2013" s="8">
        <v>12000</v>
      </c>
      <c r="D2013" s="7" t="s">
        <v>11</v>
      </c>
      <c r="E2013" s="7" t="s">
        <v>20</v>
      </c>
    </row>
    <row r="2014" spans="1:5" ht="12.75">
      <c r="A2014" s="6" t="str">
        <f>HYPERLINK(SUBSTITUTE(T(hl_0),"{0}","900331675777509"),hn_0)</f>
        <v>ОВ</v>
      </c>
      <c r="B2014" s="7" t="s">
        <v>567</v>
      </c>
      <c r="C2014" s="8">
        <v>13000</v>
      </c>
      <c r="D2014" s="7" t="s">
        <v>11</v>
      </c>
      <c r="E2014" s="7" t="s">
        <v>20</v>
      </c>
    </row>
    <row r="2015" spans="1:5" ht="12.75">
      <c r="A2015" s="6" t="str">
        <f>HYPERLINK(SUBSTITUTE(T(hl_0),"{0}","900331558529792"),hn_0)</f>
        <v>ОВ</v>
      </c>
      <c r="B2015" s="7" t="s">
        <v>567</v>
      </c>
      <c r="C2015" s="8">
        <v>7500</v>
      </c>
      <c r="D2015" s="7" t="s">
        <v>11</v>
      </c>
      <c r="E2015" s="7" t="s">
        <v>20</v>
      </c>
    </row>
    <row r="2016" spans="1:5" ht="12.75">
      <c r="A2016" s="6" t="str">
        <f>HYPERLINK(SUBSTITUTE(T(hl_0),"{0}","900331999250987"),hn_0)</f>
        <v>ОВ</v>
      </c>
      <c r="B2016" s="7" t="s">
        <v>567</v>
      </c>
      <c r="C2016" s="8">
        <v>10000</v>
      </c>
      <c r="D2016" s="7" t="s">
        <v>11</v>
      </c>
      <c r="E2016" s="7" t="s">
        <v>20</v>
      </c>
    </row>
    <row r="2017" spans="1:5" ht="12.75">
      <c r="A2017" s="6" t="str">
        <f>HYPERLINK(SUBSTITUTE(T(hl_0),"{0}","321327315214069"),hn_0)</f>
        <v>ОВ</v>
      </c>
      <c r="B2017" s="7" t="s">
        <v>568</v>
      </c>
      <c r="C2017" s="8">
        <v>12000</v>
      </c>
      <c r="D2017" s="7" t="s">
        <v>23</v>
      </c>
      <c r="E2017" s="7" t="s">
        <v>19</v>
      </c>
    </row>
    <row r="2018" spans="1:5" ht="12.75">
      <c r="A2018" s="6" t="str">
        <f>HYPERLINK(SUBSTITUTE(T(hl_0),"{0}","900332730255129"),hn_0)</f>
        <v>ОВ</v>
      </c>
      <c r="B2018" s="7" t="s">
        <v>568</v>
      </c>
      <c r="C2018" s="8">
        <v>6000</v>
      </c>
      <c r="D2018" s="7" t="s">
        <v>11</v>
      </c>
      <c r="E2018" s="7" t="s">
        <v>20</v>
      </c>
    </row>
    <row r="2019" spans="1:5" ht="12.75">
      <c r="A2019" s="6" t="str">
        <f>HYPERLINK(SUBSTITUTE(T(hl_0),"{0}","321332172240197"),hn_0)</f>
        <v>ОВ</v>
      </c>
      <c r="B2019" s="7" t="s">
        <v>569</v>
      </c>
      <c r="C2019" s="8">
        <v>6500</v>
      </c>
      <c r="D2019" s="7" t="s">
        <v>18</v>
      </c>
      <c r="E2019" s="7" t="s">
        <v>19</v>
      </c>
    </row>
    <row r="2020" spans="1:5" ht="12.75">
      <c r="A2020" s="6" t="str">
        <f>HYPERLINK(SUBSTITUTE(T(hl_0),"{0}","321332172351354"),hn_0)</f>
        <v>ОВ</v>
      </c>
      <c r="B2020" s="7" t="s">
        <v>570</v>
      </c>
      <c r="C2020" s="8">
        <v>6500</v>
      </c>
      <c r="D2020" s="7" t="s">
        <v>18</v>
      </c>
      <c r="E2020" s="7" t="s">
        <v>19</v>
      </c>
    </row>
    <row r="2021" spans="1:5" ht="12.75">
      <c r="A2021" s="6" t="str">
        <f>HYPERLINK(SUBSTITUTE(T(hl_0),"{0}","321328134690045"),hn_0)</f>
        <v>ОВ</v>
      </c>
      <c r="B2021" s="7" t="s">
        <v>570</v>
      </c>
      <c r="C2021" s="8">
        <v>6000</v>
      </c>
      <c r="D2021" s="7" t="s">
        <v>23</v>
      </c>
      <c r="E2021" s="7" t="s">
        <v>19</v>
      </c>
    </row>
    <row r="2022" spans="1:5" ht="12.75">
      <c r="A2022" s="6" t="str">
        <f>HYPERLINK(SUBSTITUTE(T(hl_0),"{0}","334330086566511"),hn_0)</f>
        <v>ОВ</v>
      </c>
      <c r="B2022" s="7" t="s">
        <v>571</v>
      </c>
      <c r="C2022" s="8">
        <v>5000</v>
      </c>
      <c r="D2022" s="7" t="s">
        <v>208</v>
      </c>
      <c r="E2022" s="7" t="s">
        <v>209</v>
      </c>
    </row>
    <row r="2023" spans="1:5" ht="25.5">
      <c r="A2023" s="6" t="str">
        <f>HYPERLINK(SUBSTITUTE(T(hl_0),"{0}","320332648212330"),hn_0)</f>
        <v>ОВ</v>
      </c>
      <c r="B2023" s="7" t="s">
        <v>572</v>
      </c>
      <c r="C2023" s="8">
        <v>8000</v>
      </c>
      <c r="D2023" s="7" t="s">
        <v>16</v>
      </c>
      <c r="E2023" s="7" t="s">
        <v>17</v>
      </c>
    </row>
    <row r="2024" spans="1:5" ht="12.75">
      <c r="A2024" s="6" t="str">
        <f>HYPERLINK(SUBSTITUTE(T(hl_0),"{0}","327332503797719"),hn_0)</f>
        <v>ОВ</v>
      </c>
      <c r="B2024" s="7" t="s">
        <v>572</v>
      </c>
      <c r="C2024" s="8">
        <v>9000</v>
      </c>
      <c r="D2024" s="7" t="s">
        <v>217</v>
      </c>
      <c r="E2024" s="7" t="s">
        <v>12</v>
      </c>
    </row>
    <row r="2025" spans="1:5" ht="12.75">
      <c r="A2025" s="6" t="str">
        <f>HYPERLINK(SUBSTITUTE(T(hl_0),"{0}","327332502413643"),hn_0)</f>
        <v>ОВ</v>
      </c>
      <c r="B2025" s="7" t="s">
        <v>572</v>
      </c>
      <c r="C2025" s="8">
        <v>9000</v>
      </c>
      <c r="D2025" s="7" t="s">
        <v>217</v>
      </c>
      <c r="E2025" s="7" t="s">
        <v>12</v>
      </c>
    </row>
    <row r="2026" spans="1:5" ht="12.75">
      <c r="A2026" s="6" t="str">
        <f>HYPERLINK(SUBSTITUTE(T(hl_0),"{0}","900331559579361"),hn_0)</f>
        <v>ОВ</v>
      </c>
      <c r="B2026" s="7" t="s">
        <v>572</v>
      </c>
      <c r="C2026" s="8">
        <v>9000</v>
      </c>
      <c r="D2026" s="7" t="s">
        <v>217</v>
      </c>
      <c r="E2026" s="7" t="s">
        <v>20</v>
      </c>
    </row>
    <row r="2027" spans="1:5" ht="12.75">
      <c r="A2027" s="6" t="str">
        <f>HYPERLINK(SUBSTITUTE(T(hl_0),"{0}","900326907027968"),hn_0)</f>
        <v>ОВ</v>
      </c>
      <c r="B2027" s="7" t="s">
        <v>572</v>
      </c>
      <c r="C2027" s="8">
        <v>8000</v>
      </c>
      <c r="D2027" s="7" t="s">
        <v>11</v>
      </c>
      <c r="E2027" s="7" t="s">
        <v>20</v>
      </c>
    </row>
    <row r="2028" spans="1:5" ht="12.75">
      <c r="A2028" s="6" t="str">
        <f>HYPERLINK(SUBSTITUTE(T(hl_0),"{0}","900330087604195"),hn_0)</f>
        <v>ОВ</v>
      </c>
      <c r="B2028" s="7" t="s">
        <v>572</v>
      </c>
      <c r="C2028" s="8">
        <v>8000</v>
      </c>
      <c r="D2028" s="7" t="s">
        <v>167</v>
      </c>
      <c r="E2028" s="7" t="s">
        <v>20</v>
      </c>
    </row>
    <row r="2029" spans="1:5" ht="12.75">
      <c r="A2029" s="6" t="str">
        <f>HYPERLINK(SUBSTITUTE(T(hl_0),"{0}","900330087607633"),hn_0)</f>
        <v>ОВ</v>
      </c>
      <c r="B2029" s="7" t="s">
        <v>572</v>
      </c>
      <c r="C2029" s="8">
        <v>8000</v>
      </c>
      <c r="D2029" s="7" t="s">
        <v>573</v>
      </c>
      <c r="E2029" s="7" t="s">
        <v>20</v>
      </c>
    </row>
    <row r="2030" spans="1:5" ht="12.75">
      <c r="A2030" s="6" t="str">
        <f>HYPERLINK(SUBSTITUTE(T(hl_0),"{0}","900330087609243"),hn_0)</f>
        <v>ОВ</v>
      </c>
      <c r="B2030" s="7" t="s">
        <v>572</v>
      </c>
      <c r="C2030" s="8">
        <v>8000</v>
      </c>
      <c r="D2030" s="7" t="s">
        <v>574</v>
      </c>
      <c r="E2030" s="7" t="s">
        <v>20</v>
      </c>
    </row>
    <row r="2031" spans="1:5" ht="12.75">
      <c r="A2031" s="6" t="str">
        <f>HYPERLINK(SUBSTITUTE(T(hl_0),"{0}","900330087584366"),hn_0)</f>
        <v>ОВ</v>
      </c>
      <c r="B2031" s="7" t="s">
        <v>572</v>
      </c>
      <c r="C2031" s="8">
        <v>8000</v>
      </c>
      <c r="D2031" s="7" t="s">
        <v>97</v>
      </c>
      <c r="E2031" s="7" t="s">
        <v>20</v>
      </c>
    </row>
    <row r="2032" spans="1:5" ht="12.75">
      <c r="A2032" s="6" t="str">
        <f>HYPERLINK(SUBSTITUTE(T(hl_0),"{0}","900330087613461"),hn_0)</f>
        <v>ОВ</v>
      </c>
      <c r="B2032" s="7" t="s">
        <v>572</v>
      </c>
      <c r="C2032" s="8">
        <v>8000</v>
      </c>
      <c r="D2032" s="7" t="s">
        <v>96</v>
      </c>
      <c r="E2032" s="7" t="s">
        <v>20</v>
      </c>
    </row>
    <row r="2033" spans="1:5" ht="12.75">
      <c r="A2033" s="6" t="str">
        <f>HYPERLINK(SUBSTITUTE(T(hl_0),"{0}","900330087627880"),hn_0)</f>
        <v>ОВ</v>
      </c>
      <c r="B2033" s="7" t="s">
        <v>572</v>
      </c>
      <c r="C2033" s="8">
        <v>8000</v>
      </c>
      <c r="D2033" s="7" t="s">
        <v>92</v>
      </c>
      <c r="E2033" s="7" t="s">
        <v>20</v>
      </c>
    </row>
    <row r="2034" spans="1:5" ht="12.75">
      <c r="A2034" s="6" t="str">
        <f>HYPERLINK(SUBSTITUTE(T(hl_0),"{0}","900330087368930"),hn_0)</f>
        <v>ОВ</v>
      </c>
      <c r="B2034" s="7" t="s">
        <v>572</v>
      </c>
      <c r="C2034" s="8">
        <v>8000</v>
      </c>
      <c r="D2034" s="7" t="s">
        <v>430</v>
      </c>
      <c r="E2034" s="7" t="s">
        <v>20</v>
      </c>
    </row>
    <row r="2035" spans="1:5" ht="12.75">
      <c r="A2035" s="6" t="str">
        <f>HYPERLINK(SUBSTITUTE(T(hl_0),"{0}","319332418555070"),hn_0)</f>
        <v>ОВ</v>
      </c>
      <c r="B2035" s="7" t="s">
        <v>575</v>
      </c>
      <c r="C2035" s="8">
        <v>8100</v>
      </c>
      <c r="D2035" s="7" t="s">
        <v>14</v>
      </c>
      <c r="E2035" s="7" t="s">
        <v>15</v>
      </c>
    </row>
    <row r="2036" spans="1:5" ht="12.75">
      <c r="A2036" s="6" t="str">
        <f>HYPERLINK(SUBSTITUTE(T(hl_0),"{0}","321331702254543"),hn_0)</f>
        <v>ОВ</v>
      </c>
      <c r="B2036" s="7" t="s">
        <v>575</v>
      </c>
      <c r="C2036" s="8">
        <v>8000</v>
      </c>
      <c r="D2036" s="7" t="s">
        <v>18</v>
      </c>
      <c r="E2036" s="7" t="s">
        <v>19</v>
      </c>
    </row>
    <row r="2037" spans="1:5" ht="12.75">
      <c r="A2037" s="6" t="str">
        <f>HYPERLINK(SUBSTITUTE(T(hl_0),"{0}","325332169996864"),hn_0)</f>
        <v>ОВ</v>
      </c>
      <c r="B2037" s="7" t="s">
        <v>575</v>
      </c>
      <c r="C2037" s="8">
        <v>7000</v>
      </c>
      <c r="D2037" s="7" t="s">
        <v>34</v>
      </c>
      <c r="E2037" s="7" t="s">
        <v>27</v>
      </c>
    </row>
    <row r="2038" spans="1:5" ht="12.75">
      <c r="A2038" s="6" t="str">
        <f>HYPERLINK(SUBSTITUTE(T(hl_0),"{0}","332331702192447"),hn_0)</f>
        <v>ОВ</v>
      </c>
      <c r="B2038" s="7" t="s">
        <v>575</v>
      </c>
      <c r="C2038" s="8">
        <v>7000</v>
      </c>
      <c r="D2038" s="7" t="s">
        <v>576</v>
      </c>
      <c r="E2038" s="7" t="s">
        <v>31</v>
      </c>
    </row>
    <row r="2039" spans="1:5" ht="12.75">
      <c r="A2039" s="6" t="str">
        <f>HYPERLINK(SUBSTITUTE(T(hl_0),"{0}","900332194352396"),hn_0)</f>
        <v>ОВ</v>
      </c>
      <c r="B2039" s="7" t="s">
        <v>575</v>
      </c>
      <c r="C2039" s="8">
        <v>15000</v>
      </c>
      <c r="D2039" s="7" t="s">
        <v>11</v>
      </c>
      <c r="E2039" s="7" t="s">
        <v>20</v>
      </c>
    </row>
    <row r="2040" spans="1:5" ht="12.75">
      <c r="A2040" s="6" t="str">
        <f>HYPERLINK(SUBSTITUTE(T(hl_0),"{0}","319331508445625"),hn_0)</f>
        <v>ОВ</v>
      </c>
      <c r="B2040" s="7" t="s">
        <v>577</v>
      </c>
      <c r="C2040" s="8">
        <v>8000</v>
      </c>
      <c r="D2040" s="7" t="s">
        <v>14</v>
      </c>
      <c r="E2040" s="7" t="s">
        <v>15</v>
      </c>
    </row>
    <row r="2041" spans="1:5" ht="12.75">
      <c r="A2041" s="6" t="str">
        <f>HYPERLINK(SUBSTITUTE(T(hl_0),"{0}","324331971132919"),hn_0)</f>
        <v>ОВ</v>
      </c>
      <c r="B2041" s="7" t="s">
        <v>577</v>
      </c>
      <c r="C2041" s="8">
        <v>7000</v>
      </c>
      <c r="D2041" s="7" t="s">
        <v>237</v>
      </c>
      <c r="E2041" s="7" t="s">
        <v>190</v>
      </c>
    </row>
    <row r="2042" spans="1:5" ht="25.5">
      <c r="A2042" s="6" t="str">
        <f>HYPERLINK(SUBSTITUTE(T(hl_0),"{0}","320332222214199"),hn_0)</f>
        <v>ОВ</v>
      </c>
      <c r="B2042" s="7" t="s">
        <v>578</v>
      </c>
      <c r="C2042" s="8">
        <v>10000</v>
      </c>
      <c r="D2042" s="7" t="s">
        <v>229</v>
      </c>
      <c r="E2042" s="7" t="s">
        <v>17</v>
      </c>
    </row>
    <row r="2043" spans="1:5" ht="25.5">
      <c r="A2043" s="6" t="str">
        <f>HYPERLINK(SUBSTITUTE(T(hl_0),"{0}","320332222214205"),hn_0)</f>
        <v>ОВ</v>
      </c>
      <c r="B2043" s="7" t="s">
        <v>578</v>
      </c>
      <c r="C2043" s="8">
        <v>10000</v>
      </c>
      <c r="D2043" s="7" t="s">
        <v>229</v>
      </c>
      <c r="E2043" s="7" t="s">
        <v>17</v>
      </c>
    </row>
    <row r="2044" spans="1:5" ht="25.5">
      <c r="A2044" s="6" t="str">
        <f>HYPERLINK(SUBSTITUTE(T(hl_0),"{0}","320332220632759"),hn_0)</f>
        <v>ОВ</v>
      </c>
      <c r="B2044" s="7" t="s">
        <v>578</v>
      </c>
      <c r="C2044" s="8">
        <v>10000</v>
      </c>
      <c r="D2044" s="7" t="s">
        <v>229</v>
      </c>
      <c r="E2044" s="7" t="s">
        <v>17</v>
      </c>
    </row>
    <row r="2045" spans="1:5" ht="25.5">
      <c r="A2045" s="6" t="str">
        <f>HYPERLINK(SUBSTITUTE(T(hl_0),"{0}","326327964033609"),hn_0)</f>
        <v>ОВ</v>
      </c>
      <c r="B2045" s="7" t="s">
        <v>578</v>
      </c>
      <c r="C2045" s="8">
        <v>7000</v>
      </c>
      <c r="D2045" s="7" t="s">
        <v>579</v>
      </c>
      <c r="E2045" s="7" t="s">
        <v>40</v>
      </c>
    </row>
    <row r="2046" spans="1:5" ht="25.5">
      <c r="A2046" s="6" t="str">
        <f>HYPERLINK(SUBSTITUTE(T(hl_0),"{0}","327331676180174"),hn_0)</f>
        <v>ОВ</v>
      </c>
      <c r="B2046" s="7" t="s">
        <v>578</v>
      </c>
      <c r="C2046" s="8">
        <v>6000</v>
      </c>
      <c r="D2046" s="7" t="s">
        <v>11</v>
      </c>
      <c r="E2046" s="7" t="s">
        <v>12</v>
      </c>
    </row>
    <row r="2047" spans="1:5" ht="25.5">
      <c r="A2047" s="6" t="str">
        <f>HYPERLINK(SUBSTITUTE(T(hl_0),"{0}","327331676181266"),hn_0)</f>
        <v>ОВ</v>
      </c>
      <c r="B2047" s="7" t="s">
        <v>578</v>
      </c>
      <c r="C2047" s="8">
        <v>6000</v>
      </c>
      <c r="D2047" s="7" t="s">
        <v>11</v>
      </c>
      <c r="E2047" s="7" t="s">
        <v>12</v>
      </c>
    </row>
    <row r="2048" spans="1:5" ht="25.5">
      <c r="A2048" s="6" t="str">
        <f>HYPERLINK(SUBSTITUTE(T(hl_0),"{0}","334330113612122"),hn_0)</f>
        <v>ОВ</v>
      </c>
      <c r="B2048" s="7" t="s">
        <v>578</v>
      </c>
      <c r="C2048" s="8">
        <v>6000</v>
      </c>
      <c r="D2048" s="7" t="s">
        <v>453</v>
      </c>
      <c r="E2048" s="7" t="s">
        <v>209</v>
      </c>
    </row>
    <row r="2049" spans="1:5" ht="25.5">
      <c r="A2049" s="6" t="str">
        <f>HYPERLINK(SUBSTITUTE(T(hl_0),"{0}","334330113603941"),hn_0)</f>
        <v>ОВ</v>
      </c>
      <c r="B2049" s="7" t="s">
        <v>578</v>
      </c>
      <c r="C2049" s="8">
        <v>6000</v>
      </c>
      <c r="D2049" s="7" t="s">
        <v>453</v>
      </c>
      <c r="E2049" s="7" t="s">
        <v>209</v>
      </c>
    </row>
    <row r="2050" spans="1:5" ht="12.75">
      <c r="A2050" s="6" t="str">
        <f>HYPERLINK(SUBSTITUTE(T(hl_0),"{0}","321325780329742"),hn_0)</f>
        <v>ОВ</v>
      </c>
      <c r="B2050" s="7" t="s">
        <v>580</v>
      </c>
      <c r="C2050" s="8">
        <v>7000</v>
      </c>
      <c r="D2050" s="7" t="s">
        <v>18</v>
      </c>
      <c r="E2050" s="7" t="s">
        <v>19</v>
      </c>
    </row>
    <row r="2051" spans="1:5" ht="12.75">
      <c r="A2051" s="6" t="str">
        <f>HYPERLINK(SUBSTITUTE(T(hl_0),"{0}","900332194869977"),hn_0)</f>
        <v>ОВ</v>
      </c>
      <c r="B2051" s="7" t="s">
        <v>580</v>
      </c>
      <c r="C2051" s="8">
        <v>10000</v>
      </c>
      <c r="D2051" s="7" t="s">
        <v>11</v>
      </c>
      <c r="E2051" s="7" t="s">
        <v>20</v>
      </c>
    </row>
    <row r="2052" spans="1:5" ht="12.75">
      <c r="A2052" s="6" t="str">
        <f>HYPERLINK(SUBSTITUTE(T(hl_0),"{0}","900325180957531"),hn_0)</f>
        <v>ОВ</v>
      </c>
      <c r="B2052" s="7" t="s">
        <v>580</v>
      </c>
      <c r="C2052" s="8">
        <v>5500</v>
      </c>
      <c r="D2052" s="7" t="s">
        <v>11</v>
      </c>
      <c r="E2052" s="7" t="s">
        <v>20</v>
      </c>
    </row>
    <row r="2053" spans="1:5" ht="12.75">
      <c r="A2053" s="6" t="str">
        <f>HYPERLINK(SUBSTITUTE(T(hl_0),"{0}","900331790960233"),hn_0)</f>
        <v>ОВ</v>
      </c>
      <c r="B2053" s="7" t="s">
        <v>581</v>
      </c>
      <c r="C2053" s="8">
        <v>8000</v>
      </c>
      <c r="D2053" s="7" t="s">
        <v>582</v>
      </c>
      <c r="E2053" s="7" t="s">
        <v>20</v>
      </c>
    </row>
    <row r="2054" spans="1:5" ht="25.5">
      <c r="A2054" s="6" t="str">
        <f>HYPERLINK(SUBSTITUTE(T(hl_0),"{0}","320331534982934"),hn_0)</f>
        <v>ОВ</v>
      </c>
      <c r="B2054" s="7" t="s">
        <v>583</v>
      </c>
      <c r="C2054" s="8">
        <v>8986</v>
      </c>
      <c r="D2054" s="7" t="s">
        <v>16</v>
      </c>
      <c r="E2054" s="7" t="s">
        <v>17</v>
      </c>
    </row>
    <row r="2055" spans="1:5" ht="12.75">
      <c r="A2055" s="6" t="str">
        <f>HYPERLINK(SUBSTITUTE(T(hl_0),"{0}","900330662417134"),hn_0)</f>
        <v>ОВ</v>
      </c>
      <c r="B2055" s="7" t="s">
        <v>584</v>
      </c>
      <c r="C2055" s="8">
        <v>6000</v>
      </c>
      <c r="D2055" s="7" t="s">
        <v>11</v>
      </c>
      <c r="E2055" s="7" t="s">
        <v>20</v>
      </c>
    </row>
    <row r="2056" spans="1:5" ht="12.75">
      <c r="A2056" s="6" t="str">
        <f>HYPERLINK(SUBSTITUTE(T(hl_0),"{0}","900328502130950"),hn_0)</f>
        <v>ОВ</v>
      </c>
      <c r="B2056" s="7" t="s">
        <v>585</v>
      </c>
      <c r="C2056" s="8">
        <v>10000</v>
      </c>
      <c r="D2056" s="7" t="s">
        <v>11</v>
      </c>
      <c r="E2056" s="7" t="s">
        <v>20</v>
      </c>
    </row>
    <row r="2057" spans="1:5" ht="12.75">
      <c r="A2057" s="6" t="str">
        <f>HYPERLINK(SUBSTITUTE(T(hl_0),"{0}","900328502130958"),hn_0)</f>
        <v>ОВ</v>
      </c>
      <c r="B2057" s="7" t="s">
        <v>585</v>
      </c>
      <c r="C2057" s="8">
        <v>10000</v>
      </c>
      <c r="D2057" s="7" t="s">
        <v>11</v>
      </c>
      <c r="E2057" s="7" t="s">
        <v>20</v>
      </c>
    </row>
    <row r="2058" spans="1:5" ht="12.75">
      <c r="A2058" s="6" t="str">
        <f>HYPERLINK(SUBSTITUTE(T(hl_0),"{0}","900328502030190"),hn_0)</f>
        <v>ОВ</v>
      </c>
      <c r="B2058" s="7" t="s">
        <v>585</v>
      </c>
      <c r="C2058" s="8">
        <v>10000</v>
      </c>
      <c r="D2058" s="7" t="s">
        <v>11</v>
      </c>
      <c r="E2058" s="7" t="s">
        <v>20</v>
      </c>
    </row>
    <row r="2059" spans="1:5" ht="12.75">
      <c r="A2059" s="6" t="str">
        <f>HYPERLINK(SUBSTITUTE(T(hl_0),"{0}","322331559370555"),hn_0)</f>
        <v>ОВ</v>
      </c>
      <c r="B2059" s="7" t="s">
        <v>586</v>
      </c>
      <c r="C2059" s="8">
        <v>6000</v>
      </c>
      <c r="D2059" s="7" t="s">
        <v>46</v>
      </c>
      <c r="E2059" s="7" t="s">
        <v>47</v>
      </c>
    </row>
    <row r="2060" spans="1:5" ht="12.75">
      <c r="A2060" s="6" t="str">
        <f>HYPERLINK(SUBSTITUTE(T(hl_0),"{0}","322332531736683"),hn_0)</f>
        <v>ОВ</v>
      </c>
      <c r="B2060" s="7" t="s">
        <v>586</v>
      </c>
      <c r="C2060" s="8">
        <v>10000</v>
      </c>
      <c r="D2060" s="7" t="s">
        <v>46</v>
      </c>
      <c r="E2060" s="7" t="s">
        <v>47</v>
      </c>
    </row>
    <row r="2061" spans="1:5" ht="12.75">
      <c r="A2061" s="6" t="str">
        <f>HYPERLINK(SUBSTITUTE(T(hl_0),"{0}","325331875419052"),hn_0)</f>
        <v>ОВ</v>
      </c>
      <c r="B2061" s="7" t="s">
        <v>586</v>
      </c>
      <c r="C2061" s="8">
        <v>7500</v>
      </c>
      <c r="D2061" s="7" t="s">
        <v>11</v>
      </c>
      <c r="E2061" s="7" t="s">
        <v>27</v>
      </c>
    </row>
    <row r="2062" spans="1:5" ht="12.75">
      <c r="A2062" s="6" t="str">
        <f>HYPERLINK(SUBSTITUTE(T(hl_0),"{0}","327332555328281"),hn_0)</f>
        <v>ОВ</v>
      </c>
      <c r="B2062" s="7" t="s">
        <v>587</v>
      </c>
      <c r="C2062" s="8">
        <v>5000</v>
      </c>
      <c r="D2062" s="7" t="s">
        <v>11</v>
      </c>
      <c r="E2062" s="7" t="s">
        <v>12</v>
      </c>
    </row>
    <row r="2063" spans="1:5" ht="12.75">
      <c r="A2063" s="6" t="str">
        <f>HYPERLINK(SUBSTITUTE(T(hl_0),"{0}","319331648283233"),hn_0)</f>
        <v>ОВ</v>
      </c>
      <c r="B2063" s="7" t="s">
        <v>588</v>
      </c>
      <c r="C2063" s="8">
        <v>8000</v>
      </c>
      <c r="D2063" s="7" t="s">
        <v>14</v>
      </c>
      <c r="E2063" s="7" t="s">
        <v>15</v>
      </c>
    </row>
    <row r="2064" spans="1:5" ht="12.75">
      <c r="A2064" s="6" t="str">
        <f>HYPERLINK(SUBSTITUTE(T(hl_0),"{0}","319331648267160"),hn_0)</f>
        <v>ОВ</v>
      </c>
      <c r="B2064" s="7" t="s">
        <v>588</v>
      </c>
      <c r="C2064" s="8">
        <v>8000</v>
      </c>
      <c r="D2064" s="7" t="s">
        <v>14</v>
      </c>
      <c r="E2064" s="7" t="s">
        <v>15</v>
      </c>
    </row>
    <row r="2065" spans="1:5" ht="12.75">
      <c r="A2065" s="6" t="str">
        <f>HYPERLINK(SUBSTITUTE(T(hl_0),"{0}","900332344266859"),hn_0)</f>
        <v>ОВ</v>
      </c>
      <c r="B2065" s="7" t="s">
        <v>589</v>
      </c>
      <c r="C2065" s="8">
        <v>7000</v>
      </c>
      <c r="D2065" s="7" t="s">
        <v>11</v>
      </c>
      <c r="E2065" s="7" t="s">
        <v>20</v>
      </c>
    </row>
    <row r="2066" spans="1:5" ht="12.75">
      <c r="A2066" s="6" t="str">
        <f>HYPERLINK(SUBSTITUTE(T(hl_0),"{0}","319332557953331"),hn_0)</f>
        <v>ОВ</v>
      </c>
      <c r="B2066" s="7" t="s">
        <v>590</v>
      </c>
      <c r="C2066" s="8">
        <v>5500</v>
      </c>
      <c r="D2066" s="7" t="s">
        <v>14</v>
      </c>
      <c r="E2066" s="7" t="s">
        <v>15</v>
      </c>
    </row>
    <row r="2067" spans="1:5" ht="25.5">
      <c r="A2067" s="6" t="str">
        <f>HYPERLINK(SUBSTITUTE(T(hl_0),"{0}","320332170532397"),hn_0)</f>
        <v>ОВ</v>
      </c>
      <c r="B2067" s="7" t="s">
        <v>590</v>
      </c>
      <c r="C2067" s="8">
        <v>8000</v>
      </c>
      <c r="D2067" s="7" t="s">
        <v>16</v>
      </c>
      <c r="E2067" s="7" t="s">
        <v>17</v>
      </c>
    </row>
    <row r="2068" spans="1:5" ht="12.75">
      <c r="A2068" s="6" t="str">
        <f>HYPERLINK(SUBSTITUTE(T(hl_0),"{0}","321332172381756"),hn_0)</f>
        <v>ОВ</v>
      </c>
      <c r="B2068" s="7" t="s">
        <v>590</v>
      </c>
      <c r="C2068" s="8">
        <v>5000</v>
      </c>
      <c r="D2068" s="7" t="s">
        <v>18</v>
      </c>
      <c r="E2068" s="7" t="s">
        <v>19</v>
      </c>
    </row>
    <row r="2069" spans="1:5" ht="12.75">
      <c r="A2069" s="6" t="str">
        <f>HYPERLINK(SUBSTITUTE(T(hl_0),"{0}","322332757987183"),hn_0)</f>
        <v>ОВ</v>
      </c>
      <c r="B2069" s="7" t="s">
        <v>590</v>
      </c>
      <c r="C2069" s="8">
        <v>7000</v>
      </c>
      <c r="D2069" s="7" t="s">
        <v>213</v>
      </c>
      <c r="E2069" s="7" t="s">
        <v>47</v>
      </c>
    </row>
    <row r="2070" spans="1:5" ht="12.75">
      <c r="A2070" s="6" t="str">
        <f>HYPERLINK(SUBSTITUTE(T(hl_0),"{0}","324331624543617"),hn_0)</f>
        <v>ОВ</v>
      </c>
      <c r="B2070" s="7" t="s">
        <v>590</v>
      </c>
      <c r="C2070" s="8">
        <v>5000</v>
      </c>
      <c r="D2070" s="7" t="s">
        <v>237</v>
      </c>
      <c r="E2070" s="7" t="s">
        <v>190</v>
      </c>
    </row>
    <row r="2071" spans="1:5" ht="12.75">
      <c r="A2071" s="6" t="str">
        <f>HYPERLINK(SUBSTITUTE(T(hl_0),"{0}","326331289536391"),hn_0)</f>
        <v>ОВ</v>
      </c>
      <c r="B2071" s="7" t="s">
        <v>590</v>
      </c>
      <c r="C2071" s="8">
        <v>6000</v>
      </c>
      <c r="D2071" s="7" t="s">
        <v>206</v>
      </c>
      <c r="E2071" s="7" t="s">
        <v>40</v>
      </c>
    </row>
    <row r="2072" spans="1:5" ht="12.75">
      <c r="A2072" s="6" t="str">
        <f>HYPERLINK(SUBSTITUTE(T(hl_0),"{0}","329332730583050"),hn_0)</f>
        <v>ОВ</v>
      </c>
      <c r="B2072" s="7" t="s">
        <v>590</v>
      </c>
      <c r="C2072" s="8">
        <v>7000</v>
      </c>
      <c r="D2072" s="7" t="s">
        <v>42</v>
      </c>
      <c r="E2072" s="7" t="s">
        <v>43</v>
      </c>
    </row>
    <row r="2073" spans="1:5" ht="12.75">
      <c r="A2073" s="6" t="str">
        <f>HYPERLINK(SUBSTITUTE(T(hl_0),"{0}","329332417555619"),hn_0)</f>
        <v>ОВ</v>
      </c>
      <c r="B2073" s="7" t="s">
        <v>590</v>
      </c>
      <c r="C2073" s="8">
        <v>8000</v>
      </c>
      <c r="D2073" s="7" t="s">
        <v>42</v>
      </c>
      <c r="E2073" s="7" t="s">
        <v>43</v>
      </c>
    </row>
    <row r="2074" spans="1:5" ht="12.75">
      <c r="A2074" s="6" t="str">
        <f>HYPERLINK(SUBSTITUTE(T(hl_0),"{0}","329328428290394"),hn_0)</f>
        <v>ОВ</v>
      </c>
      <c r="B2074" s="7" t="s">
        <v>590</v>
      </c>
      <c r="C2074" s="8">
        <v>8000</v>
      </c>
      <c r="D2074" s="7" t="s">
        <v>42</v>
      </c>
      <c r="E2074" s="7" t="s">
        <v>43</v>
      </c>
    </row>
    <row r="2075" spans="1:5" ht="12.75">
      <c r="A2075" s="6" t="str">
        <f>HYPERLINK(SUBSTITUTE(T(hl_0),"{0}","331332315569822"),hn_0)</f>
        <v>ОВ</v>
      </c>
      <c r="B2075" s="7" t="s">
        <v>590</v>
      </c>
      <c r="C2075" s="8">
        <v>6000</v>
      </c>
      <c r="D2075" s="7" t="s">
        <v>37</v>
      </c>
      <c r="E2075" s="7" t="s">
        <v>195</v>
      </c>
    </row>
    <row r="2076" spans="1:5" ht="12.75">
      <c r="A2076" s="6" t="str">
        <f>HYPERLINK(SUBSTITUTE(T(hl_0),"{0}","333332729391343"),hn_0)</f>
        <v>ОВ</v>
      </c>
      <c r="B2076" s="7" t="s">
        <v>590</v>
      </c>
      <c r="C2076" s="8">
        <v>5200</v>
      </c>
      <c r="D2076" s="7" t="s">
        <v>240</v>
      </c>
      <c r="E2076" s="7" t="s">
        <v>198</v>
      </c>
    </row>
    <row r="2077" spans="1:5" ht="12.75">
      <c r="A2077" s="6" t="str">
        <f>HYPERLINK(SUBSTITUTE(T(hl_0),"{0}","900332369438775"),hn_0)</f>
        <v>ОВ</v>
      </c>
      <c r="B2077" s="7" t="s">
        <v>590</v>
      </c>
      <c r="C2077" s="8">
        <v>8500</v>
      </c>
      <c r="D2077" s="7" t="s">
        <v>11</v>
      </c>
      <c r="E2077" s="7" t="s">
        <v>20</v>
      </c>
    </row>
    <row r="2078" spans="1:5" ht="12.75">
      <c r="A2078" s="6" t="str">
        <f>HYPERLINK(SUBSTITUTE(T(hl_0),"{0}","900332369428839"),hn_0)</f>
        <v>ОВ</v>
      </c>
      <c r="B2078" s="7" t="s">
        <v>590</v>
      </c>
      <c r="C2078" s="8">
        <v>8500</v>
      </c>
      <c r="D2078" s="7" t="s">
        <v>11</v>
      </c>
      <c r="E2078" s="7" t="s">
        <v>20</v>
      </c>
    </row>
    <row r="2079" spans="1:5" ht="12.75">
      <c r="A2079" s="6" t="str">
        <f>HYPERLINK(SUBSTITUTE(T(hl_0),"{0}","900327690611657"),hn_0)</f>
        <v>ОВ</v>
      </c>
      <c r="B2079" s="7" t="s">
        <v>591</v>
      </c>
      <c r="C2079" s="8">
        <v>6000</v>
      </c>
      <c r="D2079" s="7" t="s">
        <v>11</v>
      </c>
      <c r="E2079" s="7" t="s">
        <v>20</v>
      </c>
    </row>
    <row r="2080" spans="1:5" ht="12.75">
      <c r="A2080" s="6" t="str">
        <f>HYPERLINK(SUBSTITUTE(T(hl_0),"{0}","900327690613992"),hn_0)</f>
        <v>ОВ</v>
      </c>
      <c r="B2080" s="7" t="s">
        <v>591</v>
      </c>
      <c r="C2080" s="8">
        <v>6000</v>
      </c>
      <c r="D2080" s="7" t="s">
        <v>11</v>
      </c>
      <c r="E2080" s="7" t="s">
        <v>20</v>
      </c>
    </row>
    <row r="2081" spans="1:5" ht="12.75">
      <c r="A2081" s="6" t="str">
        <f>HYPERLINK(SUBSTITUTE(T(hl_0),"{0}","900327316997670"),hn_0)</f>
        <v>ОВ</v>
      </c>
      <c r="B2081" s="7" t="s">
        <v>592</v>
      </c>
      <c r="C2081" s="8">
        <v>6000</v>
      </c>
      <c r="D2081" s="7" t="s">
        <v>11</v>
      </c>
      <c r="E2081" s="7" t="s">
        <v>20</v>
      </c>
    </row>
    <row r="2082" spans="1:5" ht="12.75">
      <c r="A2082" s="6" t="str">
        <f>HYPERLINK(SUBSTITUTE(T(hl_0),"{0}","900332501974907"),hn_0)</f>
        <v>ОВ</v>
      </c>
      <c r="B2082" s="7" t="s">
        <v>593</v>
      </c>
      <c r="C2082" s="8">
        <v>12000</v>
      </c>
      <c r="D2082" s="7" t="s">
        <v>11</v>
      </c>
      <c r="E2082" s="7" t="s">
        <v>20</v>
      </c>
    </row>
    <row r="2083" spans="1:5" ht="12.75">
      <c r="A2083" s="6" t="str">
        <f>HYPERLINK(SUBSTITUTE(T(hl_0),"{0}","319331648356210"),hn_0)</f>
        <v>ОВ</v>
      </c>
      <c r="B2083" s="7" t="s">
        <v>594</v>
      </c>
      <c r="C2083" s="8">
        <v>6000</v>
      </c>
      <c r="D2083" s="7" t="s">
        <v>14</v>
      </c>
      <c r="E2083" s="7" t="s">
        <v>15</v>
      </c>
    </row>
    <row r="2084" spans="1:5" ht="12.75">
      <c r="A2084" s="6" t="str">
        <f>HYPERLINK(SUBSTITUTE(T(hl_0),"{0}","319331648356216"),hn_0)</f>
        <v>ОВ</v>
      </c>
      <c r="B2084" s="7" t="s">
        <v>594</v>
      </c>
      <c r="C2084" s="8">
        <v>6000</v>
      </c>
      <c r="D2084" s="7" t="s">
        <v>14</v>
      </c>
      <c r="E2084" s="7" t="s">
        <v>15</v>
      </c>
    </row>
    <row r="2085" spans="1:5" ht="12.75">
      <c r="A2085" s="6" t="str">
        <f>HYPERLINK(SUBSTITUTE(T(hl_0),"{0}","319331648356235"),hn_0)</f>
        <v>ОВ</v>
      </c>
      <c r="B2085" s="7" t="s">
        <v>594</v>
      </c>
      <c r="C2085" s="8">
        <v>6000</v>
      </c>
      <c r="D2085" s="7" t="s">
        <v>14</v>
      </c>
      <c r="E2085" s="7" t="s">
        <v>15</v>
      </c>
    </row>
    <row r="2086" spans="1:5" ht="12.75">
      <c r="A2086" s="6" t="str">
        <f>HYPERLINK(SUBSTITUTE(T(hl_0),"{0}","319331648356243"),hn_0)</f>
        <v>ОВ</v>
      </c>
      <c r="B2086" s="7" t="s">
        <v>594</v>
      </c>
      <c r="C2086" s="8">
        <v>6000</v>
      </c>
      <c r="D2086" s="7" t="s">
        <v>14</v>
      </c>
      <c r="E2086" s="7" t="s">
        <v>15</v>
      </c>
    </row>
    <row r="2087" spans="1:5" ht="12.75">
      <c r="A2087" s="6" t="str">
        <f>HYPERLINK(SUBSTITUTE(T(hl_0),"{0}","321331819521899"),hn_0)</f>
        <v>ОВ</v>
      </c>
      <c r="B2087" s="7" t="s">
        <v>594</v>
      </c>
      <c r="C2087" s="8">
        <v>9865</v>
      </c>
      <c r="D2087" s="7" t="s">
        <v>18</v>
      </c>
      <c r="E2087" s="7" t="s">
        <v>19</v>
      </c>
    </row>
    <row r="2088" spans="1:5" ht="12.75">
      <c r="A2088" s="6" t="str">
        <f>HYPERLINK(SUBSTITUTE(T(hl_0),"{0}","321331819521909"),hn_0)</f>
        <v>ОВ</v>
      </c>
      <c r="B2088" s="7" t="s">
        <v>594</v>
      </c>
      <c r="C2088" s="8">
        <v>9865</v>
      </c>
      <c r="D2088" s="7" t="s">
        <v>18</v>
      </c>
      <c r="E2088" s="7" t="s">
        <v>19</v>
      </c>
    </row>
    <row r="2089" spans="1:5" ht="12.75">
      <c r="A2089" s="6" t="str">
        <f>HYPERLINK(SUBSTITUTE(T(hl_0),"{0}","321331819521947"),hn_0)</f>
        <v>ОВ</v>
      </c>
      <c r="B2089" s="7" t="s">
        <v>594</v>
      </c>
      <c r="C2089" s="8">
        <v>9865</v>
      </c>
      <c r="D2089" s="7" t="s">
        <v>18</v>
      </c>
      <c r="E2089" s="7" t="s">
        <v>19</v>
      </c>
    </row>
    <row r="2090" spans="1:5" ht="12.75">
      <c r="A2090" s="6" t="str">
        <f>HYPERLINK(SUBSTITUTE(T(hl_0),"{0}","321331819521886"),hn_0)</f>
        <v>ОВ</v>
      </c>
      <c r="B2090" s="7" t="s">
        <v>594</v>
      </c>
      <c r="C2090" s="8">
        <v>9865</v>
      </c>
      <c r="D2090" s="7" t="s">
        <v>18</v>
      </c>
      <c r="E2090" s="7" t="s">
        <v>19</v>
      </c>
    </row>
    <row r="2091" spans="1:5" ht="12.75">
      <c r="A2091" s="6" t="str">
        <f>HYPERLINK(SUBSTITUTE(T(hl_0),"{0}","321331819521976"),hn_0)</f>
        <v>ОВ</v>
      </c>
      <c r="B2091" s="7" t="s">
        <v>594</v>
      </c>
      <c r="C2091" s="8">
        <v>9865</v>
      </c>
      <c r="D2091" s="7" t="s">
        <v>18</v>
      </c>
      <c r="E2091" s="7" t="s">
        <v>19</v>
      </c>
    </row>
    <row r="2092" spans="1:5" ht="12.75">
      <c r="A2092" s="6" t="str">
        <f>HYPERLINK(SUBSTITUTE(T(hl_0),"{0}","321331819521985"),hn_0)</f>
        <v>ОВ</v>
      </c>
      <c r="B2092" s="7" t="s">
        <v>594</v>
      </c>
      <c r="C2092" s="8">
        <v>9865</v>
      </c>
      <c r="D2092" s="7" t="s">
        <v>18</v>
      </c>
      <c r="E2092" s="7" t="s">
        <v>19</v>
      </c>
    </row>
    <row r="2093" spans="1:5" ht="12.75">
      <c r="A2093" s="6" t="str">
        <f>HYPERLINK(SUBSTITUTE(T(hl_0),"{0}","321331819521993"),hn_0)</f>
        <v>ОВ</v>
      </c>
      <c r="B2093" s="7" t="s">
        <v>594</v>
      </c>
      <c r="C2093" s="8">
        <v>9865</v>
      </c>
      <c r="D2093" s="7" t="s">
        <v>18</v>
      </c>
      <c r="E2093" s="7" t="s">
        <v>19</v>
      </c>
    </row>
    <row r="2094" spans="1:5" ht="12.75">
      <c r="A2094" s="6" t="str">
        <f>HYPERLINK(SUBSTITUTE(T(hl_0),"{0}","321331819521964"),hn_0)</f>
        <v>ОВ</v>
      </c>
      <c r="B2094" s="7" t="s">
        <v>594</v>
      </c>
      <c r="C2094" s="8">
        <v>9865</v>
      </c>
      <c r="D2094" s="7" t="s">
        <v>18</v>
      </c>
      <c r="E2094" s="7" t="s">
        <v>19</v>
      </c>
    </row>
    <row r="2095" spans="1:5" ht="12.75">
      <c r="A2095" s="6" t="str">
        <f>HYPERLINK(SUBSTITUTE(T(hl_0),"{0}","321331819055480"),hn_0)</f>
        <v>ОВ</v>
      </c>
      <c r="B2095" s="7" t="s">
        <v>594</v>
      </c>
      <c r="C2095" s="8">
        <v>9865</v>
      </c>
      <c r="D2095" s="7" t="s">
        <v>18</v>
      </c>
      <c r="E2095" s="7" t="s">
        <v>19</v>
      </c>
    </row>
    <row r="2096" spans="1:5" ht="12.75">
      <c r="A2096" s="6" t="str">
        <f>HYPERLINK(SUBSTITUTE(T(hl_0),"{0}","321328185924078"),hn_0)</f>
        <v>ОВ</v>
      </c>
      <c r="B2096" s="7" t="s">
        <v>594</v>
      </c>
      <c r="C2096" s="8">
        <v>9865</v>
      </c>
      <c r="D2096" s="7" t="s">
        <v>18</v>
      </c>
      <c r="E2096" s="7" t="s">
        <v>19</v>
      </c>
    </row>
    <row r="2097" spans="1:5" ht="12.75">
      <c r="A2097" s="6" t="str">
        <f>HYPERLINK(SUBSTITUTE(T(hl_0),"{0}","325331792377148"),hn_0)</f>
        <v>ОВ</v>
      </c>
      <c r="B2097" s="7" t="s">
        <v>594</v>
      </c>
      <c r="C2097" s="8">
        <v>9522.41</v>
      </c>
      <c r="D2097" s="7" t="s">
        <v>34</v>
      </c>
      <c r="E2097" s="7" t="s">
        <v>27</v>
      </c>
    </row>
    <row r="2098" spans="1:5" ht="12.75">
      <c r="A2098" s="6" t="str">
        <f>HYPERLINK(SUBSTITUTE(T(hl_0),"{0}","325331792377158"),hn_0)</f>
        <v>ОВ</v>
      </c>
      <c r="B2098" s="7" t="s">
        <v>594</v>
      </c>
      <c r="C2098" s="8">
        <v>9522.41</v>
      </c>
      <c r="D2098" s="7" t="s">
        <v>34</v>
      </c>
      <c r="E2098" s="7" t="s">
        <v>27</v>
      </c>
    </row>
    <row r="2099" spans="1:5" ht="12.75">
      <c r="A2099" s="6" t="str">
        <f>HYPERLINK(SUBSTITUTE(T(hl_0),"{0}","325331792378930"),hn_0)</f>
        <v>ОВ</v>
      </c>
      <c r="B2099" s="7" t="s">
        <v>594</v>
      </c>
      <c r="C2099" s="8">
        <v>9522.41</v>
      </c>
      <c r="D2099" s="7" t="s">
        <v>11</v>
      </c>
      <c r="E2099" s="7" t="s">
        <v>27</v>
      </c>
    </row>
    <row r="2100" spans="1:5" ht="12.75">
      <c r="A2100" s="6" t="str">
        <f>HYPERLINK(SUBSTITUTE(T(hl_0),"{0}","325331792352134"),hn_0)</f>
        <v>ОВ</v>
      </c>
      <c r="B2100" s="7" t="s">
        <v>594</v>
      </c>
      <c r="C2100" s="8">
        <v>9522.41</v>
      </c>
      <c r="D2100" s="7" t="s">
        <v>34</v>
      </c>
      <c r="E2100" s="7" t="s">
        <v>27</v>
      </c>
    </row>
    <row r="2101" spans="1:5" ht="12.75">
      <c r="A2101" s="6" t="str">
        <f>HYPERLINK(SUBSTITUTE(T(hl_0),"{0}","325331792468215"),hn_0)</f>
        <v>ОВ</v>
      </c>
      <c r="B2101" s="7" t="s">
        <v>594</v>
      </c>
      <c r="C2101" s="8">
        <v>9522.41</v>
      </c>
      <c r="D2101" s="7" t="s">
        <v>11</v>
      </c>
      <c r="E2101" s="7" t="s">
        <v>27</v>
      </c>
    </row>
    <row r="2102" spans="1:5" ht="12.75">
      <c r="A2102" s="6" t="str">
        <f>HYPERLINK(SUBSTITUTE(T(hl_0),"{0}","325331792377131"),hn_0)</f>
        <v>ОВ</v>
      </c>
      <c r="B2102" s="7" t="s">
        <v>594</v>
      </c>
      <c r="C2102" s="8">
        <v>9522.41</v>
      </c>
      <c r="D2102" s="7" t="s">
        <v>34</v>
      </c>
      <c r="E2102" s="7" t="s">
        <v>27</v>
      </c>
    </row>
    <row r="2103" spans="1:5" ht="12.75">
      <c r="A2103" s="6" t="str">
        <f>HYPERLINK(SUBSTITUTE(T(hl_0),"{0}","319332416297885"),hn_0)</f>
        <v>ОВ</v>
      </c>
      <c r="B2103" s="7" t="s">
        <v>595</v>
      </c>
      <c r="C2103" s="8">
        <v>6000</v>
      </c>
      <c r="D2103" s="7" t="s">
        <v>14</v>
      </c>
      <c r="E2103" s="7" t="s">
        <v>15</v>
      </c>
    </row>
    <row r="2104" spans="1:5" ht="12.75">
      <c r="A2104" s="6" t="str">
        <f>HYPERLINK(SUBSTITUTE(T(hl_0),"{0}","319330882371402"),hn_0)</f>
        <v>ОВ</v>
      </c>
      <c r="B2104" s="7" t="s">
        <v>595</v>
      </c>
      <c r="C2104" s="8">
        <v>5500</v>
      </c>
      <c r="D2104" s="7" t="s">
        <v>14</v>
      </c>
      <c r="E2104" s="7" t="s">
        <v>15</v>
      </c>
    </row>
    <row r="2105" spans="1:5" ht="12.75">
      <c r="A2105" s="6" t="str">
        <f>HYPERLINK(SUBSTITUTE(T(hl_0),"{0}","319327465902519"),hn_0)</f>
        <v>ОВ</v>
      </c>
      <c r="B2105" s="7" t="s">
        <v>595</v>
      </c>
      <c r="C2105" s="8">
        <v>14000</v>
      </c>
      <c r="D2105" s="7" t="s">
        <v>14</v>
      </c>
      <c r="E2105" s="7" t="s">
        <v>15</v>
      </c>
    </row>
    <row r="2106" spans="1:5" ht="12.75">
      <c r="A2106" s="6" t="str">
        <f>HYPERLINK(SUBSTITUTE(T(hl_0),"{0}","319327465902527"),hn_0)</f>
        <v>ОВ</v>
      </c>
      <c r="B2106" s="7" t="s">
        <v>595</v>
      </c>
      <c r="C2106" s="8">
        <v>14000</v>
      </c>
      <c r="D2106" s="7" t="s">
        <v>14</v>
      </c>
      <c r="E2106" s="7" t="s">
        <v>15</v>
      </c>
    </row>
    <row r="2107" spans="1:5" ht="12.75">
      <c r="A2107" s="6" t="str">
        <f>HYPERLINK(SUBSTITUTE(T(hl_0),"{0}","319327465896132"),hn_0)</f>
        <v>ОВ</v>
      </c>
      <c r="B2107" s="7" t="s">
        <v>595</v>
      </c>
      <c r="C2107" s="8">
        <v>14000</v>
      </c>
      <c r="D2107" s="7" t="s">
        <v>14</v>
      </c>
      <c r="E2107" s="7" t="s">
        <v>15</v>
      </c>
    </row>
    <row r="2108" spans="1:5" ht="25.5">
      <c r="A2108" s="6" t="str">
        <f>HYPERLINK(SUBSTITUTE(T(hl_0),"{0}","320332318920790"),hn_0)</f>
        <v>ОВ</v>
      </c>
      <c r="B2108" s="7" t="s">
        <v>595</v>
      </c>
      <c r="C2108" s="8">
        <v>9000</v>
      </c>
      <c r="D2108" s="7" t="s">
        <v>16</v>
      </c>
      <c r="E2108" s="7" t="s">
        <v>17</v>
      </c>
    </row>
    <row r="2109" spans="1:5" ht="12.75">
      <c r="A2109" s="6" t="str">
        <f>HYPERLINK(SUBSTITUTE(T(hl_0),"{0}","321328186000704"),hn_0)</f>
        <v>ОВ</v>
      </c>
      <c r="B2109" s="7" t="s">
        <v>595</v>
      </c>
      <c r="C2109" s="8">
        <v>6096</v>
      </c>
      <c r="D2109" s="7" t="s">
        <v>18</v>
      </c>
      <c r="E2109" s="7" t="s">
        <v>19</v>
      </c>
    </row>
    <row r="2110" spans="1:5" ht="12.75">
      <c r="A2110" s="6" t="str">
        <f>HYPERLINK(SUBSTITUTE(T(hl_0),"{0}","321330360913189"),hn_0)</f>
        <v>ОВ</v>
      </c>
      <c r="B2110" s="7" t="s">
        <v>595</v>
      </c>
      <c r="C2110" s="8">
        <v>5060</v>
      </c>
      <c r="D2110" s="7" t="s">
        <v>18</v>
      </c>
      <c r="E2110" s="7" t="s">
        <v>19</v>
      </c>
    </row>
    <row r="2111" spans="1:5" ht="12.75">
      <c r="A2111" s="6" t="str">
        <f>HYPERLINK(SUBSTITUTE(T(hl_0),"{0}","321330360913189"),hn_0)</f>
        <v>ОВ</v>
      </c>
      <c r="B2111" s="7" t="s">
        <v>595</v>
      </c>
      <c r="C2111" s="8">
        <v>5060</v>
      </c>
      <c r="D2111" s="7" t="s">
        <v>18</v>
      </c>
      <c r="E2111" s="7" t="s">
        <v>19</v>
      </c>
    </row>
    <row r="2112" spans="1:5" ht="12.75">
      <c r="A2112" s="6" t="str">
        <f>HYPERLINK(SUBSTITUTE(T(hl_0),"{0}","321327962457345"),hn_0)</f>
        <v>ОВ</v>
      </c>
      <c r="B2112" s="7" t="s">
        <v>595</v>
      </c>
      <c r="C2112" s="8">
        <v>9000</v>
      </c>
      <c r="D2112" s="7" t="s">
        <v>18</v>
      </c>
      <c r="E2112" s="7" t="s">
        <v>19</v>
      </c>
    </row>
    <row r="2113" spans="1:5" ht="12.75">
      <c r="A2113" s="6" t="str">
        <f>HYPERLINK(SUBSTITUTE(T(hl_0),"{0}","321327962537440"),hn_0)</f>
        <v>ОВ</v>
      </c>
      <c r="B2113" s="7" t="s">
        <v>595</v>
      </c>
      <c r="C2113" s="8">
        <v>9000</v>
      </c>
      <c r="D2113" s="7" t="s">
        <v>18</v>
      </c>
      <c r="E2113" s="7" t="s">
        <v>19</v>
      </c>
    </row>
    <row r="2114" spans="1:5" ht="12.75">
      <c r="A2114" s="6" t="str">
        <f>HYPERLINK(SUBSTITUTE(T(hl_0),"{0}","322332675519524"),hn_0)</f>
        <v>ОВ</v>
      </c>
      <c r="B2114" s="7" t="s">
        <v>595</v>
      </c>
      <c r="C2114" s="8">
        <v>7000</v>
      </c>
      <c r="D2114" s="7" t="s">
        <v>36</v>
      </c>
      <c r="E2114" s="7" t="s">
        <v>47</v>
      </c>
    </row>
    <row r="2115" spans="1:5" ht="12.75">
      <c r="A2115" s="6" t="str">
        <f>HYPERLINK(SUBSTITUTE(T(hl_0),"{0}","325329653592974"),hn_0)</f>
        <v>ОВ</v>
      </c>
      <c r="B2115" s="7" t="s">
        <v>595</v>
      </c>
      <c r="C2115" s="8">
        <v>8000</v>
      </c>
      <c r="D2115" s="7" t="s">
        <v>34</v>
      </c>
      <c r="E2115" s="7" t="s">
        <v>27</v>
      </c>
    </row>
    <row r="2116" spans="1:5" ht="12.75">
      <c r="A2116" s="6" t="str">
        <f>HYPERLINK(SUBSTITUTE(T(hl_0),"{0}","900332705794088"),hn_0)</f>
        <v>ОВ</v>
      </c>
      <c r="B2116" s="7" t="s">
        <v>595</v>
      </c>
      <c r="C2116" s="8">
        <v>8000</v>
      </c>
      <c r="D2116" s="7" t="s">
        <v>11</v>
      </c>
      <c r="E2116" s="7" t="s">
        <v>20</v>
      </c>
    </row>
    <row r="2117" spans="1:5" ht="12.75">
      <c r="A2117" s="6" t="str">
        <f>HYPERLINK(SUBSTITUTE(T(hl_0),"{0}","900332705770669"),hn_0)</f>
        <v>ОВ</v>
      </c>
      <c r="B2117" s="7" t="s">
        <v>595</v>
      </c>
      <c r="C2117" s="8">
        <v>8000</v>
      </c>
      <c r="D2117" s="7" t="s">
        <v>11</v>
      </c>
      <c r="E2117" s="7" t="s">
        <v>20</v>
      </c>
    </row>
    <row r="2118" spans="1:5" ht="25.5">
      <c r="A2118" s="6" t="str">
        <f>HYPERLINK(SUBSTITUTE(T(hl_0),"{0}","319332759845742"),hn_0)</f>
        <v>ОВ</v>
      </c>
      <c r="B2118" s="7" t="s">
        <v>596</v>
      </c>
      <c r="C2118" s="8">
        <v>8000</v>
      </c>
      <c r="D2118" s="7" t="s">
        <v>14</v>
      </c>
      <c r="E2118" s="7" t="s">
        <v>15</v>
      </c>
    </row>
    <row r="2119" spans="1:5" ht="25.5">
      <c r="A2119" s="6" t="str">
        <f>HYPERLINK(SUBSTITUTE(T(hl_0),"{0}","335332826555743"),hn_0)</f>
        <v>ОВ</v>
      </c>
      <c r="B2119" s="7" t="s">
        <v>597</v>
      </c>
      <c r="C2119" s="8">
        <v>7530</v>
      </c>
      <c r="D2119" s="7" t="s">
        <v>276</v>
      </c>
      <c r="E2119" s="7" t="s">
        <v>277</v>
      </c>
    </row>
    <row r="2120" spans="1:5" ht="12.75">
      <c r="A2120" s="6" t="str">
        <f>HYPERLINK(SUBSTITUTE(T(hl_0),"{0}","900332732739733"),hn_0)</f>
        <v>ОВ</v>
      </c>
      <c r="B2120" s="7" t="s">
        <v>598</v>
      </c>
      <c r="C2120" s="8">
        <v>5800</v>
      </c>
      <c r="D2120" s="7" t="s">
        <v>11</v>
      </c>
      <c r="E2120" s="7" t="s">
        <v>20</v>
      </c>
    </row>
    <row r="2121" spans="1:5" ht="12.75">
      <c r="A2121" s="6" t="str">
        <f>HYPERLINK(SUBSTITUTE(T(hl_0),"{0}","330331507583486"),hn_0)</f>
        <v>ОВ</v>
      </c>
      <c r="B2121" s="7" t="s">
        <v>599</v>
      </c>
      <c r="C2121" s="8">
        <v>7000</v>
      </c>
      <c r="D2121" s="7" t="s">
        <v>252</v>
      </c>
      <c r="E2121" s="7" t="s">
        <v>29</v>
      </c>
    </row>
    <row r="2122" spans="1:5" ht="12.75">
      <c r="A2122" s="6" t="str">
        <f>HYPERLINK(SUBSTITUTE(T(hl_0),"{0}","330331507221939"),hn_0)</f>
        <v>ОВ</v>
      </c>
      <c r="B2122" s="7" t="s">
        <v>599</v>
      </c>
      <c r="C2122" s="8">
        <v>7000</v>
      </c>
      <c r="D2122" s="7" t="s">
        <v>252</v>
      </c>
      <c r="E2122" s="7" t="s">
        <v>29</v>
      </c>
    </row>
    <row r="2123" spans="1:5" ht="12.75">
      <c r="A2123" s="6" t="str">
        <f>HYPERLINK(SUBSTITUTE(T(hl_0),"{0}","330331507583498"),hn_0)</f>
        <v>ОВ</v>
      </c>
      <c r="B2123" s="7" t="s">
        <v>599</v>
      </c>
      <c r="C2123" s="8">
        <v>7000</v>
      </c>
      <c r="D2123" s="7" t="s">
        <v>252</v>
      </c>
      <c r="E2123" s="7" t="s">
        <v>29</v>
      </c>
    </row>
    <row r="2124" spans="1:5" ht="25.5">
      <c r="A2124" s="6" t="str">
        <f>HYPERLINK(SUBSTITUTE(T(hl_0),"{0}","320331726968841"),hn_0)</f>
        <v>ОВ</v>
      </c>
      <c r="B2124" s="7" t="s">
        <v>600</v>
      </c>
      <c r="C2124" s="8">
        <v>5000</v>
      </c>
      <c r="D2124" s="7" t="s">
        <v>16</v>
      </c>
      <c r="E2124" s="7" t="s">
        <v>17</v>
      </c>
    </row>
    <row r="2125" spans="1:5" ht="12.75">
      <c r="A2125" s="6" t="str">
        <f>HYPERLINK(SUBSTITUTE(T(hl_0),"{0}","900331819356963"),hn_0)</f>
        <v>ОВ</v>
      </c>
      <c r="B2125" s="7" t="s">
        <v>601</v>
      </c>
      <c r="C2125" s="8">
        <v>7000</v>
      </c>
      <c r="D2125" s="7" t="s">
        <v>11</v>
      </c>
      <c r="E2125" s="7" t="s">
        <v>20</v>
      </c>
    </row>
    <row r="2126" spans="1:5" ht="12.75">
      <c r="A2126" s="6" t="str">
        <f>HYPERLINK(SUBSTITUTE(T(hl_0),"{0}","321328500307508"),hn_0)</f>
        <v>ОВ</v>
      </c>
      <c r="B2126" s="7" t="s">
        <v>602</v>
      </c>
      <c r="C2126" s="8">
        <v>8000</v>
      </c>
      <c r="D2126" s="7" t="s">
        <v>283</v>
      </c>
      <c r="E2126" s="7" t="s">
        <v>19</v>
      </c>
    </row>
    <row r="2127" spans="1:5" ht="12.75">
      <c r="A2127" s="6" t="str">
        <f>HYPERLINK(SUBSTITUTE(T(hl_0),"{0}","900332502020054"),hn_0)</f>
        <v>ОВ</v>
      </c>
      <c r="B2127" s="7" t="s">
        <v>603</v>
      </c>
      <c r="C2127" s="8">
        <v>10000</v>
      </c>
      <c r="D2127" s="7" t="s">
        <v>11</v>
      </c>
      <c r="E2127" s="7" t="s">
        <v>20</v>
      </c>
    </row>
    <row r="2128" spans="1:5" ht="12.75">
      <c r="A2128" s="6" t="str">
        <f>HYPERLINK(SUBSTITUTE(T(hl_0),"{0}","900331558539139"),hn_0)</f>
        <v>ОВ</v>
      </c>
      <c r="B2128" s="7" t="s">
        <v>603</v>
      </c>
      <c r="C2128" s="8">
        <v>7500</v>
      </c>
      <c r="D2128" s="7" t="s">
        <v>11</v>
      </c>
      <c r="E2128" s="7" t="s">
        <v>20</v>
      </c>
    </row>
    <row r="2129" spans="1:5" ht="12.75">
      <c r="A2129" s="6" t="str">
        <f>HYPERLINK(SUBSTITUTE(T(hl_0),"{0}","900331193297845"),hn_0)</f>
        <v>ОВ</v>
      </c>
      <c r="B2129" s="7" t="s">
        <v>603</v>
      </c>
      <c r="C2129" s="8">
        <v>8000</v>
      </c>
      <c r="D2129" s="7" t="s">
        <v>11</v>
      </c>
      <c r="E2129" s="7" t="s">
        <v>20</v>
      </c>
    </row>
    <row r="2130" spans="1:5" ht="12.75">
      <c r="A2130" s="6" t="str">
        <f>HYPERLINK(SUBSTITUTE(T(hl_0),"{0}","900328010898006"),hn_0)</f>
        <v>ОВ</v>
      </c>
      <c r="B2130" s="7" t="s">
        <v>603</v>
      </c>
      <c r="C2130" s="8">
        <v>8000</v>
      </c>
      <c r="D2130" s="7" t="s">
        <v>11</v>
      </c>
      <c r="E2130" s="7" t="s">
        <v>20</v>
      </c>
    </row>
    <row r="2131" spans="1:5" ht="12.75">
      <c r="A2131" s="6" t="str">
        <f>HYPERLINK(SUBSTITUTE(T(hl_0),"{0}","900332393359719"),hn_0)</f>
        <v>ОВ</v>
      </c>
      <c r="B2131" s="7" t="s">
        <v>604</v>
      </c>
      <c r="C2131" s="8">
        <v>8000</v>
      </c>
      <c r="D2131" s="7" t="s">
        <v>11</v>
      </c>
      <c r="E2131" s="7" t="s">
        <v>20</v>
      </c>
    </row>
    <row r="2132" spans="1:5" ht="12.75">
      <c r="A2132" s="6" t="str">
        <f>HYPERLINK(SUBSTITUTE(T(hl_0),"{0}","900332393367584"),hn_0)</f>
        <v>ОВ</v>
      </c>
      <c r="B2132" s="7" t="s">
        <v>604</v>
      </c>
      <c r="C2132" s="8">
        <v>8000</v>
      </c>
      <c r="D2132" s="7" t="s">
        <v>11</v>
      </c>
      <c r="E2132" s="7" t="s">
        <v>20</v>
      </c>
    </row>
    <row r="2133" spans="1:5" ht="12.75">
      <c r="A2133" s="6" t="str">
        <f>HYPERLINK(SUBSTITUTE(T(hl_0),"{0}","900332393367592"),hn_0)</f>
        <v>ОВ</v>
      </c>
      <c r="B2133" s="7" t="s">
        <v>604</v>
      </c>
      <c r="C2133" s="8">
        <v>8000</v>
      </c>
      <c r="D2133" s="7" t="s">
        <v>11</v>
      </c>
      <c r="E2133" s="7" t="s">
        <v>20</v>
      </c>
    </row>
    <row r="2134" spans="1:5" ht="12.75">
      <c r="A2134" s="6" t="str">
        <f>HYPERLINK(SUBSTITUTE(T(hl_0),"{0}","319332224237155"),hn_0)</f>
        <v>ОВ</v>
      </c>
      <c r="B2134" s="7" t="s">
        <v>605</v>
      </c>
      <c r="C2134" s="8">
        <v>5200</v>
      </c>
      <c r="D2134" s="7" t="s">
        <v>14</v>
      </c>
      <c r="E2134" s="7" t="s">
        <v>15</v>
      </c>
    </row>
    <row r="2135" spans="1:5" ht="12.75">
      <c r="A2135" s="6" t="str">
        <f>HYPERLINK(SUBSTITUTE(T(hl_0),"{0}","319331819157682"),hn_0)</f>
        <v>ОВ</v>
      </c>
      <c r="B2135" s="7" t="s">
        <v>606</v>
      </c>
      <c r="C2135" s="8">
        <v>8000</v>
      </c>
      <c r="D2135" s="7" t="s">
        <v>14</v>
      </c>
      <c r="E2135" s="7" t="s">
        <v>15</v>
      </c>
    </row>
    <row r="2136" spans="1:5" ht="12.75">
      <c r="A2136" s="6" t="str">
        <f>HYPERLINK(SUBSTITUTE(T(hl_0),"{0}","319331819157682"),hn_0)</f>
        <v>ОВ</v>
      </c>
      <c r="B2136" s="7" t="s">
        <v>606</v>
      </c>
      <c r="C2136" s="8">
        <v>8000</v>
      </c>
      <c r="D2136" s="7" t="s">
        <v>14</v>
      </c>
      <c r="E2136" s="7" t="s">
        <v>15</v>
      </c>
    </row>
    <row r="2137" spans="1:5" ht="12.75">
      <c r="A2137" s="6" t="str">
        <f>HYPERLINK(SUBSTITUTE(T(hl_0),"{0}","332332344355155"),hn_0)</f>
        <v>ОВ</v>
      </c>
      <c r="B2137" s="7" t="s">
        <v>606</v>
      </c>
      <c r="C2137" s="8">
        <v>6000</v>
      </c>
      <c r="D2137" s="7" t="s">
        <v>30</v>
      </c>
      <c r="E2137" s="7" t="s">
        <v>31</v>
      </c>
    </row>
    <row r="2138" spans="1:5" ht="12.75">
      <c r="A2138" s="6" t="str">
        <f>HYPERLINK(SUBSTITUTE(T(hl_0),"{0}","332329115619478"),hn_0)</f>
        <v>ОВ</v>
      </c>
      <c r="B2138" s="7" t="s">
        <v>607</v>
      </c>
      <c r="C2138" s="8">
        <v>7000</v>
      </c>
      <c r="D2138" s="7" t="s">
        <v>30</v>
      </c>
      <c r="E2138" s="7" t="s">
        <v>31</v>
      </c>
    </row>
    <row r="2139" spans="1:5" ht="12.75">
      <c r="A2139" s="6" t="str">
        <f>HYPERLINK(SUBSTITUTE(T(hl_0),"{0}","325331675700009"),hn_0)</f>
        <v>ОВ</v>
      </c>
      <c r="B2139" s="7" t="s">
        <v>608</v>
      </c>
      <c r="C2139" s="8">
        <v>7500</v>
      </c>
      <c r="D2139" s="7" t="s">
        <v>11</v>
      </c>
      <c r="E2139" s="7" t="s">
        <v>27</v>
      </c>
    </row>
    <row r="2140" spans="1:5" ht="12.75">
      <c r="A2140" s="6" t="str">
        <f>HYPERLINK(SUBSTITUTE(T(hl_0),"{0}","325331675700009"),hn_0)</f>
        <v>ОВ</v>
      </c>
      <c r="B2140" s="7" t="s">
        <v>608</v>
      </c>
      <c r="C2140" s="8">
        <v>7500</v>
      </c>
      <c r="D2140" s="7" t="s">
        <v>11</v>
      </c>
      <c r="E2140" s="7" t="s">
        <v>27</v>
      </c>
    </row>
    <row r="2141" spans="1:5" ht="12.75">
      <c r="A2141" s="6" t="str">
        <f>HYPERLINK(SUBSTITUTE(T(hl_0),"{0}","325331675588203"),hn_0)</f>
        <v>ОВ</v>
      </c>
      <c r="B2141" s="7" t="s">
        <v>608</v>
      </c>
      <c r="C2141" s="8">
        <v>7500</v>
      </c>
      <c r="D2141" s="7" t="s">
        <v>11</v>
      </c>
      <c r="E2141" s="7" t="s">
        <v>27</v>
      </c>
    </row>
    <row r="2142" spans="1:5" ht="12.75">
      <c r="A2142" s="6" t="str">
        <f>HYPERLINK(SUBSTITUTE(T(hl_0),"{0}","325331675588203"),hn_0)</f>
        <v>ОВ</v>
      </c>
      <c r="B2142" s="7" t="s">
        <v>608</v>
      </c>
      <c r="C2142" s="8">
        <v>7500</v>
      </c>
      <c r="D2142" s="7" t="s">
        <v>11</v>
      </c>
      <c r="E2142" s="7" t="s">
        <v>27</v>
      </c>
    </row>
    <row r="2143" spans="1:5" ht="12.75">
      <c r="A2143" s="6" t="str">
        <f>HYPERLINK(SUBSTITUTE(T(hl_0),"{0}","325331675700025"),hn_0)</f>
        <v>ОВ</v>
      </c>
      <c r="B2143" s="7" t="s">
        <v>608</v>
      </c>
      <c r="C2143" s="8">
        <v>7500</v>
      </c>
      <c r="D2143" s="7" t="s">
        <v>11</v>
      </c>
      <c r="E2143" s="7" t="s">
        <v>27</v>
      </c>
    </row>
    <row r="2144" spans="1:5" ht="12.75">
      <c r="A2144" s="6" t="str">
        <f>HYPERLINK(SUBSTITUTE(T(hl_0),"{0}","325331675700025"),hn_0)</f>
        <v>ОВ</v>
      </c>
      <c r="B2144" s="7" t="s">
        <v>608</v>
      </c>
      <c r="C2144" s="8">
        <v>7500</v>
      </c>
      <c r="D2144" s="7" t="s">
        <v>11</v>
      </c>
      <c r="E2144" s="7" t="s">
        <v>27</v>
      </c>
    </row>
    <row r="2145" spans="1:5" ht="12.75">
      <c r="A2145" s="6" t="str">
        <f>HYPERLINK(SUBSTITUTE(T(hl_0),"{0}","325331675784371"),hn_0)</f>
        <v>ОВ</v>
      </c>
      <c r="B2145" s="7" t="s">
        <v>608</v>
      </c>
      <c r="C2145" s="8">
        <v>7500</v>
      </c>
      <c r="D2145" s="7" t="s">
        <v>267</v>
      </c>
      <c r="E2145" s="7" t="s">
        <v>27</v>
      </c>
    </row>
    <row r="2146" spans="1:5" ht="12.75">
      <c r="A2146" s="6" t="str">
        <f>HYPERLINK(SUBSTITUTE(T(hl_0),"{0}","325331675784371"),hn_0)</f>
        <v>ОВ</v>
      </c>
      <c r="B2146" s="7" t="s">
        <v>608</v>
      </c>
      <c r="C2146" s="8">
        <v>7500</v>
      </c>
      <c r="D2146" s="7" t="s">
        <v>267</v>
      </c>
      <c r="E2146" s="7" t="s">
        <v>27</v>
      </c>
    </row>
    <row r="2147" spans="1:5" ht="12.75">
      <c r="A2147" s="6" t="str">
        <f>HYPERLINK(SUBSTITUTE(T(hl_0),"{0}","325331675700018"),hn_0)</f>
        <v>ОВ</v>
      </c>
      <c r="B2147" s="7" t="s">
        <v>608</v>
      </c>
      <c r="C2147" s="8">
        <v>7500</v>
      </c>
      <c r="D2147" s="7" t="s">
        <v>11</v>
      </c>
      <c r="E2147" s="7" t="s">
        <v>27</v>
      </c>
    </row>
    <row r="2148" spans="1:5" ht="12.75">
      <c r="A2148" s="6" t="str">
        <f>HYPERLINK(SUBSTITUTE(T(hl_0),"{0}","325331675700018"),hn_0)</f>
        <v>ОВ</v>
      </c>
      <c r="B2148" s="7" t="s">
        <v>608</v>
      </c>
      <c r="C2148" s="8">
        <v>7500</v>
      </c>
      <c r="D2148" s="7" t="s">
        <v>11</v>
      </c>
      <c r="E2148" s="7" t="s">
        <v>27</v>
      </c>
    </row>
    <row r="2149" spans="1:5" ht="12.75">
      <c r="A2149" s="6" t="str">
        <f>HYPERLINK(SUBSTITUTE(T(hl_0),"{0}","325331675784349"),hn_0)</f>
        <v>ОВ</v>
      </c>
      <c r="B2149" s="7" t="s">
        <v>608</v>
      </c>
      <c r="C2149" s="8">
        <v>7500</v>
      </c>
      <c r="D2149" s="7" t="s">
        <v>267</v>
      </c>
      <c r="E2149" s="7" t="s">
        <v>27</v>
      </c>
    </row>
    <row r="2150" spans="1:5" ht="12.75">
      <c r="A2150" s="6" t="str">
        <f>HYPERLINK(SUBSTITUTE(T(hl_0),"{0}","325331675784349"),hn_0)</f>
        <v>ОВ</v>
      </c>
      <c r="B2150" s="7" t="s">
        <v>608</v>
      </c>
      <c r="C2150" s="8">
        <v>7500</v>
      </c>
      <c r="D2150" s="7" t="s">
        <v>267</v>
      </c>
      <c r="E2150" s="7" t="s">
        <v>27</v>
      </c>
    </row>
    <row r="2151" spans="1:5" ht="12.75">
      <c r="A2151" s="6" t="str">
        <f>HYPERLINK(SUBSTITUTE(T(hl_0),"{0}","325331675784342"),hn_0)</f>
        <v>ОВ</v>
      </c>
      <c r="B2151" s="7" t="s">
        <v>608</v>
      </c>
      <c r="C2151" s="8">
        <v>7500</v>
      </c>
      <c r="D2151" s="7" t="s">
        <v>267</v>
      </c>
      <c r="E2151" s="7" t="s">
        <v>27</v>
      </c>
    </row>
    <row r="2152" spans="1:5" ht="12.75">
      <c r="A2152" s="6" t="str">
        <f>HYPERLINK(SUBSTITUTE(T(hl_0),"{0}","325331675784342"),hn_0)</f>
        <v>ОВ</v>
      </c>
      <c r="B2152" s="7" t="s">
        <v>608</v>
      </c>
      <c r="C2152" s="8">
        <v>7500</v>
      </c>
      <c r="D2152" s="7" t="s">
        <v>267</v>
      </c>
      <c r="E2152" s="7" t="s">
        <v>27</v>
      </c>
    </row>
    <row r="2153" spans="1:5" ht="12.75">
      <c r="A2153" s="6" t="str">
        <f>HYPERLINK(SUBSTITUTE(T(hl_0),"{0}","325330310023581"),hn_0)</f>
        <v>ОВ</v>
      </c>
      <c r="B2153" s="7" t="s">
        <v>608</v>
      </c>
      <c r="C2153" s="8">
        <v>7500</v>
      </c>
      <c r="D2153" s="7" t="s">
        <v>267</v>
      </c>
      <c r="E2153" s="7" t="s">
        <v>27</v>
      </c>
    </row>
    <row r="2154" spans="1:5" ht="12.75">
      <c r="A2154" s="6" t="str">
        <f>HYPERLINK(SUBSTITUTE(T(hl_0),"{0}","325330310023581"),hn_0)</f>
        <v>ОВ</v>
      </c>
      <c r="B2154" s="7" t="s">
        <v>608</v>
      </c>
      <c r="C2154" s="8">
        <v>7500</v>
      </c>
      <c r="D2154" s="7" t="s">
        <v>267</v>
      </c>
      <c r="E2154" s="7" t="s">
        <v>27</v>
      </c>
    </row>
    <row r="2155" spans="1:5" ht="12.75">
      <c r="A2155" s="6" t="str">
        <f>HYPERLINK(SUBSTITUTE(T(hl_0),"{0}","332332677508140"),hn_0)</f>
        <v>ОВ</v>
      </c>
      <c r="B2155" s="7" t="s">
        <v>609</v>
      </c>
      <c r="C2155" s="8">
        <v>6000</v>
      </c>
      <c r="D2155" s="7" t="s">
        <v>207</v>
      </c>
      <c r="E2155" s="7" t="s">
        <v>31</v>
      </c>
    </row>
    <row r="2156" spans="1:5" ht="12.75">
      <c r="A2156" s="6" t="str">
        <f>HYPERLINK(SUBSTITUTE(T(hl_0),"{0}","335332759259184"),hn_0)</f>
        <v>ОВ</v>
      </c>
      <c r="B2156" s="7" t="s">
        <v>609</v>
      </c>
      <c r="C2156" s="8">
        <v>6500</v>
      </c>
      <c r="D2156" s="7" t="s">
        <v>276</v>
      </c>
      <c r="E2156" s="7" t="s">
        <v>277</v>
      </c>
    </row>
    <row r="2157" spans="1:5" ht="12.75">
      <c r="A2157" s="6" t="str">
        <f>HYPERLINK(SUBSTITUTE(T(hl_0),"{0}","335332759180611"),hn_0)</f>
        <v>ОВ</v>
      </c>
      <c r="B2157" s="7" t="s">
        <v>609</v>
      </c>
      <c r="C2157" s="8">
        <v>6500</v>
      </c>
      <c r="D2157" s="7" t="s">
        <v>276</v>
      </c>
      <c r="E2157" s="7" t="s">
        <v>277</v>
      </c>
    </row>
    <row r="2158" spans="1:5" ht="12.75">
      <c r="A2158" s="6" t="str">
        <f>HYPERLINK(SUBSTITUTE(T(hl_0),"{0}","900332650520883"),hn_0)</f>
        <v>ОВ</v>
      </c>
      <c r="B2158" s="7" t="s">
        <v>609</v>
      </c>
      <c r="C2158" s="8">
        <v>5000</v>
      </c>
      <c r="D2158" s="7" t="s">
        <v>11</v>
      </c>
      <c r="E2158" s="7" t="s">
        <v>20</v>
      </c>
    </row>
    <row r="2159" spans="1:5" ht="12.75">
      <c r="A2159" s="6" t="str">
        <f>HYPERLINK(SUBSTITUTE(T(hl_0),"{0}","321328249751656"),hn_0)</f>
        <v>ОВ</v>
      </c>
      <c r="B2159" s="7" t="s">
        <v>610</v>
      </c>
      <c r="C2159" s="8">
        <v>8800</v>
      </c>
      <c r="D2159" s="7" t="s">
        <v>18</v>
      </c>
      <c r="E2159" s="7" t="s">
        <v>19</v>
      </c>
    </row>
    <row r="2160" spans="1:5" ht="12.75">
      <c r="A2160" s="6" t="str">
        <f>HYPERLINK(SUBSTITUTE(T(hl_0),"{0}","331332758122088"),hn_0)</f>
        <v>ОВ</v>
      </c>
      <c r="B2160" s="7" t="s">
        <v>610</v>
      </c>
      <c r="C2160" s="8">
        <v>8000</v>
      </c>
      <c r="D2160" s="7" t="s">
        <v>37</v>
      </c>
      <c r="E2160" s="7" t="s">
        <v>195</v>
      </c>
    </row>
    <row r="2161" spans="1:5" ht="12.75">
      <c r="A2161" s="6" t="str">
        <f>HYPERLINK(SUBSTITUTE(T(hl_0),"{0}","900332528999205"),hn_0)</f>
        <v>ОВ</v>
      </c>
      <c r="B2161" s="7" t="s">
        <v>610</v>
      </c>
      <c r="C2161" s="8">
        <v>7000</v>
      </c>
      <c r="D2161" s="7" t="s">
        <v>11</v>
      </c>
      <c r="E2161" s="7" t="s">
        <v>20</v>
      </c>
    </row>
    <row r="2162" spans="1:5" ht="12.75">
      <c r="A2162" s="6" t="str">
        <f>HYPERLINK(SUBSTITUTE(T(hl_0),"{0}","900332555887367"),hn_0)</f>
        <v>ОВ</v>
      </c>
      <c r="B2162" s="7" t="s">
        <v>610</v>
      </c>
      <c r="C2162" s="8">
        <v>5500</v>
      </c>
      <c r="D2162" s="7" t="s">
        <v>11</v>
      </c>
      <c r="E2162" s="7" t="s">
        <v>20</v>
      </c>
    </row>
    <row r="2163" spans="1:5" ht="12.75">
      <c r="A2163" s="6" t="str">
        <f>HYPERLINK(SUBSTITUTE(T(hl_0),"{0}","900327510480828"),hn_0)</f>
        <v>ОВ</v>
      </c>
      <c r="B2163" s="7" t="s">
        <v>610</v>
      </c>
      <c r="C2163" s="8">
        <v>5500</v>
      </c>
      <c r="D2163" s="7" t="s">
        <v>11</v>
      </c>
      <c r="E2163" s="7" t="s">
        <v>20</v>
      </c>
    </row>
    <row r="2164" spans="1:5" ht="12.75">
      <c r="A2164" s="6" t="str">
        <f>HYPERLINK(SUBSTITUTE(T(hl_0),"{0}","900328109463057"),hn_0)</f>
        <v>ОВ</v>
      </c>
      <c r="B2164" s="7" t="s">
        <v>611</v>
      </c>
      <c r="C2164" s="8">
        <v>15000</v>
      </c>
      <c r="D2164" s="7" t="s">
        <v>11</v>
      </c>
      <c r="E2164" s="7" t="s">
        <v>20</v>
      </c>
    </row>
    <row r="2165" spans="1:5" ht="12.75">
      <c r="A2165" s="6" t="str">
        <f>HYPERLINK(SUBSTITUTE(T(hl_0),"{0}","324332581851623"),hn_0)</f>
        <v>ОВ</v>
      </c>
      <c r="B2165" s="7" t="s">
        <v>612</v>
      </c>
      <c r="C2165" s="8">
        <v>5466</v>
      </c>
      <c r="D2165" s="7" t="s">
        <v>323</v>
      </c>
      <c r="E2165" s="7" t="s">
        <v>190</v>
      </c>
    </row>
    <row r="2166" spans="1:5" ht="12.75">
      <c r="A2166" s="6" t="str">
        <f>HYPERLINK(SUBSTITUTE(T(hl_0),"{0}","333332580781192"),hn_0)</f>
        <v>ОВ</v>
      </c>
      <c r="B2166" s="7" t="s">
        <v>612</v>
      </c>
      <c r="C2166" s="8">
        <v>5400</v>
      </c>
      <c r="D2166" s="7" t="s">
        <v>613</v>
      </c>
      <c r="E2166" s="7" t="s">
        <v>198</v>
      </c>
    </row>
    <row r="2167" spans="1:5" ht="12.75">
      <c r="A2167" s="6" t="str">
        <f>HYPERLINK(SUBSTITUTE(T(hl_0),"{0}","900331795239831"),hn_0)</f>
        <v>ОВ</v>
      </c>
      <c r="B2167" s="7" t="s">
        <v>612</v>
      </c>
      <c r="C2167" s="8">
        <v>5200</v>
      </c>
      <c r="D2167" s="7" t="s">
        <v>11</v>
      </c>
      <c r="E2167" s="7" t="s">
        <v>20</v>
      </c>
    </row>
    <row r="2168" spans="1:5" ht="12.75">
      <c r="A2168" s="6" t="str">
        <f>HYPERLINK(SUBSTITUTE(T(hl_0),"{0}","900331795235768"),hn_0)</f>
        <v>ОВ</v>
      </c>
      <c r="B2168" s="7" t="s">
        <v>612</v>
      </c>
      <c r="C2168" s="8">
        <v>5200</v>
      </c>
      <c r="D2168" s="7" t="s">
        <v>11</v>
      </c>
      <c r="E2168" s="7" t="s">
        <v>20</v>
      </c>
    </row>
    <row r="2169" spans="1:5" ht="12.75">
      <c r="A2169" s="6" t="str">
        <f>HYPERLINK(SUBSTITUTE(T(hl_0),"{0}","325331675850396"),hn_0)</f>
        <v>ОВ</v>
      </c>
      <c r="B2169" s="7" t="s">
        <v>614</v>
      </c>
      <c r="C2169" s="8">
        <v>7500</v>
      </c>
      <c r="D2169" s="7" t="s">
        <v>267</v>
      </c>
      <c r="E2169" s="7" t="s">
        <v>27</v>
      </c>
    </row>
    <row r="2170" spans="1:5" ht="12.75">
      <c r="A2170" s="6" t="str">
        <f>HYPERLINK(SUBSTITUTE(T(hl_0),"{0}","325331675850396"),hn_0)</f>
        <v>ОВ</v>
      </c>
      <c r="B2170" s="7" t="s">
        <v>614</v>
      </c>
      <c r="C2170" s="8">
        <v>7500</v>
      </c>
      <c r="D2170" s="7" t="s">
        <v>267</v>
      </c>
      <c r="E2170" s="7" t="s">
        <v>27</v>
      </c>
    </row>
    <row r="2171" spans="1:5" ht="12.75">
      <c r="A2171" s="6" t="str">
        <f>HYPERLINK(SUBSTITUTE(T(hl_0),"{0}","325331675850403"),hn_0)</f>
        <v>ОВ</v>
      </c>
      <c r="B2171" s="7" t="s">
        <v>614</v>
      </c>
      <c r="C2171" s="8">
        <v>7500</v>
      </c>
      <c r="D2171" s="7" t="s">
        <v>267</v>
      </c>
      <c r="E2171" s="7" t="s">
        <v>27</v>
      </c>
    </row>
    <row r="2172" spans="1:5" ht="12.75">
      <c r="A2172" s="6" t="str">
        <f>HYPERLINK(SUBSTITUTE(T(hl_0),"{0}","325331675850403"),hn_0)</f>
        <v>ОВ</v>
      </c>
      <c r="B2172" s="7" t="s">
        <v>614</v>
      </c>
      <c r="C2172" s="8">
        <v>7500</v>
      </c>
      <c r="D2172" s="7" t="s">
        <v>267</v>
      </c>
      <c r="E2172" s="7" t="s">
        <v>27</v>
      </c>
    </row>
    <row r="2173" spans="1:5" ht="12.75">
      <c r="A2173" s="6" t="str">
        <f>HYPERLINK(SUBSTITUTE(T(hl_0),"{0}","325331675850390"),hn_0)</f>
        <v>ОВ</v>
      </c>
      <c r="B2173" s="7" t="s">
        <v>614</v>
      </c>
      <c r="C2173" s="8">
        <v>7500</v>
      </c>
      <c r="D2173" s="7" t="s">
        <v>267</v>
      </c>
      <c r="E2173" s="7" t="s">
        <v>27</v>
      </c>
    </row>
    <row r="2174" spans="1:5" ht="12.75">
      <c r="A2174" s="6" t="str">
        <f>HYPERLINK(SUBSTITUTE(T(hl_0),"{0}","325331675850390"),hn_0)</f>
        <v>ОВ</v>
      </c>
      <c r="B2174" s="7" t="s">
        <v>614</v>
      </c>
      <c r="C2174" s="8">
        <v>7500</v>
      </c>
      <c r="D2174" s="7" t="s">
        <v>267</v>
      </c>
      <c r="E2174" s="7" t="s">
        <v>27</v>
      </c>
    </row>
    <row r="2175" spans="1:5" ht="12.75">
      <c r="A2175" s="6" t="str">
        <f>HYPERLINK(SUBSTITUTE(T(hl_0),"{0}","325331675910590"),hn_0)</f>
        <v>ОВ</v>
      </c>
      <c r="B2175" s="7" t="s">
        <v>614</v>
      </c>
      <c r="C2175" s="8">
        <v>7500</v>
      </c>
      <c r="D2175" s="7" t="s">
        <v>11</v>
      </c>
      <c r="E2175" s="7" t="s">
        <v>27</v>
      </c>
    </row>
    <row r="2176" spans="1:5" ht="12.75">
      <c r="A2176" s="6" t="str">
        <f>HYPERLINK(SUBSTITUTE(T(hl_0),"{0}","325331675910590"),hn_0)</f>
        <v>ОВ</v>
      </c>
      <c r="B2176" s="7" t="s">
        <v>614</v>
      </c>
      <c r="C2176" s="8">
        <v>7500</v>
      </c>
      <c r="D2176" s="7" t="s">
        <v>11</v>
      </c>
      <c r="E2176" s="7" t="s">
        <v>27</v>
      </c>
    </row>
    <row r="2177" spans="1:5" ht="12.75">
      <c r="A2177" s="6" t="str">
        <f>HYPERLINK(SUBSTITUTE(T(hl_0),"{0}","325331675901864"),hn_0)</f>
        <v>ОВ</v>
      </c>
      <c r="B2177" s="7" t="s">
        <v>614</v>
      </c>
      <c r="C2177" s="8">
        <v>7500</v>
      </c>
      <c r="D2177" s="7" t="s">
        <v>11</v>
      </c>
      <c r="E2177" s="7" t="s">
        <v>27</v>
      </c>
    </row>
    <row r="2178" spans="1:5" ht="12.75">
      <c r="A2178" s="6" t="str">
        <f>HYPERLINK(SUBSTITUTE(T(hl_0),"{0}","325331675901864"),hn_0)</f>
        <v>ОВ</v>
      </c>
      <c r="B2178" s="7" t="s">
        <v>614</v>
      </c>
      <c r="C2178" s="8">
        <v>7500</v>
      </c>
      <c r="D2178" s="7" t="s">
        <v>11</v>
      </c>
      <c r="E2178" s="7" t="s">
        <v>27</v>
      </c>
    </row>
    <row r="2179" spans="1:5" ht="12.75">
      <c r="A2179" s="6" t="str">
        <f>HYPERLINK(SUBSTITUTE(T(hl_0),"{0}","325331675848076"),hn_0)</f>
        <v>ОВ</v>
      </c>
      <c r="B2179" s="7" t="s">
        <v>614</v>
      </c>
      <c r="C2179" s="8">
        <v>7500</v>
      </c>
      <c r="D2179" s="7" t="s">
        <v>11</v>
      </c>
      <c r="E2179" s="7" t="s">
        <v>27</v>
      </c>
    </row>
    <row r="2180" spans="1:5" ht="12.75">
      <c r="A2180" s="6" t="str">
        <f>HYPERLINK(SUBSTITUTE(T(hl_0),"{0}","325331675848076"),hn_0)</f>
        <v>ОВ</v>
      </c>
      <c r="B2180" s="7" t="s">
        <v>614</v>
      </c>
      <c r="C2180" s="8">
        <v>7500</v>
      </c>
      <c r="D2180" s="7" t="s">
        <v>11</v>
      </c>
      <c r="E2180" s="7" t="s">
        <v>27</v>
      </c>
    </row>
    <row r="2181" spans="1:5" ht="12.75">
      <c r="A2181" s="6" t="str">
        <f>HYPERLINK(SUBSTITUTE(T(hl_0),"{0}","325331675850413"),hn_0)</f>
        <v>ОВ</v>
      </c>
      <c r="B2181" s="7" t="s">
        <v>614</v>
      </c>
      <c r="C2181" s="8">
        <v>7500</v>
      </c>
      <c r="D2181" s="7" t="s">
        <v>267</v>
      </c>
      <c r="E2181" s="7" t="s">
        <v>27</v>
      </c>
    </row>
    <row r="2182" spans="1:5" ht="12.75">
      <c r="A2182" s="6" t="str">
        <f>HYPERLINK(SUBSTITUTE(T(hl_0),"{0}","325331675850413"),hn_0)</f>
        <v>ОВ</v>
      </c>
      <c r="B2182" s="7" t="s">
        <v>614</v>
      </c>
      <c r="C2182" s="8">
        <v>7500</v>
      </c>
      <c r="D2182" s="7" t="s">
        <v>267</v>
      </c>
      <c r="E2182" s="7" t="s">
        <v>27</v>
      </c>
    </row>
    <row r="2183" spans="1:5" ht="12.75">
      <c r="A2183" s="6" t="str">
        <f>HYPERLINK(SUBSTITUTE(T(hl_0),"{0}","900331995704899"),hn_0)</f>
        <v>ОВ</v>
      </c>
      <c r="B2183" s="7" t="s">
        <v>614</v>
      </c>
      <c r="C2183" s="8">
        <v>8000</v>
      </c>
      <c r="D2183" s="7" t="s">
        <v>11</v>
      </c>
      <c r="E2183" s="7" t="s">
        <v>20</v>
      </c>
    </row>
    <row r="2184" spans="1:5" ht="12.75">
      <c r="A2184" s="6" t="str">
        <f>HYPERLINK(SUBSTITUTE(T(hl_0),"{0}","900331676904813"),hn_0)</f>
        <v>ОВ</v>
      </c>
      <c r="B2184" s="7" t="s">
        <v>615</v>
      </c>
      <c r="C2184" s="8">
        <v>6000</v>
      </c>
      <c r="D2184" s="7" t="s">
        <v>11</v>
      </c>
      <c r="E2184" s="7" t="s">
        <v>20</v>
      </c>
    </row>
    <row r="2185" spans="1:5" ht="12.75">
      <c r="A2185" s="6" t="str">
        <f>HYPERLINK(SUBSTITUTE(T(hl_0),"{0}","900331676928839"),hn_0)</f>
        <v>ОВ</v>
      </c>
      <c r="B2185" s="7" t="s">
        <v>615</v>
      </c>
      <c r="C2185" s="8">
        <v>6000</v>
      </c>
      <c r="D2185" s="7" t="s">
        <v>11</v>
      </c>
      <c r="E2185" s="7" t="s">
        <v>20</v>
      </c>
    </row>
    <row r="2186" spans="1:5" ht="12.75">
      <c r="A2186" s="6" t="str">
        <f>HYPERLINK(SUBSTITUTE(T(hl_0),"{0}","900331676928853"),hn_0)</f>
        <v>ОВ</v>
      </c>
      <c r="B2186" s="7" t="s">
        <v>615</v>
      </c>
      <c r="C2186" s="8">
        <v>6000</v>
      </c>
      <c r="D2186" s="7" t="s">
        <v>11</v>
      </c>
      <c r="E2186" s="7" t="s">
        <v>20</v>
      </c>
    </row>
    <row r="2187" spans="1:5" ht="12.75">
      <c r="A2187" s="6" t="str">
        <f>HYPERLINK(SUBSTITUTE(T(hl_0),"{0}","319331970684693"),hn_0)</f>
        <v>ОВ</v>
      </c>
      <c r="B2187" s="7" t="s">
        <v>616</v>
      </c>
      <c r="C2187" s="8">
        <v>10000</v>
      </c>
      <c r="D2187" s="7" t="s">
        <v>14</v>
      </c>
      <c r="E2187" s="7" t="s">
        <v>15</v>
      </c>
    </row>
    <row r="2188" spans="1:5" ht="12.75">
      <c r="A2188" s="6" t="str">
        <f>HYPERLINK(SUBSTITUTE(T(hl_0),"{0}","319331970878065"),hn_0)</f>
        <v>ОВ</v>
      </c>
      <c r="B2188" s="7" t="s">
        <v>615</v>
      </c>
      <c r="C2188" s="8">
        <v>10000</v>
      </c>
      <c r="D2188" s="7" t="s">
        <v>14</v>
      </c>
      <c r="E2188" s="7" t="s">
        <v>15</v>
      </c>
    </row>
    <row r="2189" spans="1:5" ht="12.75">
      <c r="A2189" s="6" t="str">
        <f>HYPERLINK(SUBSTITUTE(T(hl_0),"{0}","319331561131000"),hn_0)</f>
        <v>ОВ</v>
      </c>
      <c r="B2189" s="7" t="s">
        <v>615</v>
      </c>
      <c r="C2189" s="8">
        <v>10000</v>
      </c>
      <c r="D2189" s="7" t="s">
        <v>14</v>
      </c>
      <c r="E2189" s="7" t="s">
        <v>15</v>
      </c>
    </row>
    <row r="2190" spans="1:5" ht="12.75">
      <c r="A2190" s="6" t="str">
        <f>HYPERLINK(SUBSTITUTE(T(hl_0),"{0}","329332679484715"),hn_0)</f>
        <v>ОВ</v>
      </c>
      <c r="B2190" s="7" t="s">
        <v>615</v>
      </c>
      <c r="C2190" s="8">
        <v>9000</v>
      </c>
      <c r="D2190" s="7" t="s">
        <v>42</v>
      </c>
      <c r="E2190" s="7" t="s">
        <v>43</v>
      </c>
    </row>
    <row r="2191" spans="1:5" ht="12.75">
      <c r="A2191" s="6" t="str">
        <f>HYPERLINK(SUBSTITUTE(T(hl_0),"{0}","332327385912931"),hn_0)</f>
        <v>ОВ</v>
      </c>
      <c r="B2191" s="7" t="s">
        <v>615</v>
      </c>
      <c r="C2191" s="8">
        <v>5000</v>
      </c>
      <c r="D2191" s="7" t="s">
        <v>30</v>
      </c>
      <c r="E2191" s="7" t="s">
        <v>31</v>
      </c>
    </row>
    <row r="2192" spans="1:5" ht="12.75">
      <c r="A2192" s="6" t="str">
        <f>HYPERLINK(SUBSTITUTE(T(hl_0),"{0}","333332733631835"),hn_0)</f>
        <v>ОВ</v>
      </c>
      <c r="B2192" s="7" t="s">
        <v>617</v>
      </c>
      <c r="C2192" s="8">
        <v>5500</v>
      </c>
      <c r="D2192" s="7" t="s">
        <v>197</v>
      </c>
      <c r="E2192" s="7" t="s">
        <v>198</v>
      </c>
    </row>
    <row r="2193" spans="1:5" ht="12.75">
      <c r="A2193" s="6" t="str">
        <f>HYPERLINK(SUBSTITUTE(T(hl_0),"{0}","324331534605940"),hn_0)</f>
        <v>ОВ</v>
      </c>
      <c r="B2193" s="7" t="s">
        <v>618</v>
      </c>
      <c r="C2193" s="8">
        <v>5000</v>
      </c>
      <c r="D2193" s="7" t="s">
        <v>619</v>
      </c>
      <c r="E2193" s="7" t="s">
        <v>190</v>
      </c>
    </row>
    <row r="2194" spans="1:5" ht="12.75">
      <c r="A2194" s="6" t="str">
        <f>HYPERLINK(SUBSTITUTE(T(hl_0),"{0}","324331534633606"),hn_0)</f>
        <v>ОВ</v>
      </c>
      <c r="B2194" s="7" t="s">
        <v>618</v>
      </c>
      <c r="C2194" s="8">
        <v>5000</v>
      </c>
      <c r="D2194" s="7" t="s">
        <v>620</v>
      </c>
      <c r="E2194" s="7" t="s">
        <v>190</v>
      </c>
    </row>
    <row r="2195" spans="1:5" ht="12.75">
      <c r="A2195" s="6" t="str">
        <f>HYPERLINK(SUBSTITUTE(T(hl_0),"{0}","330331170233195"),hn_0)</f>
        <v>ОВ</v>
      </c>
      <c r="B2195" s="7" t="s">
        <v>618</v>
      </c>
      <c r="C2195" s="8">
        <v>8076</v>
      </c>
      <c r="D2195" s="7" t="s">
        <v>252</v>
      </c>
      <c r="E2195" s="7" t="s">
        <v>29</v>
      </c>
    </row>
    <row r="2196" spans="1:5" ht="12.75">
      <c r="A2196" s="6" t="str">
        <f>HYPERLINK(SUBSTITUTE(T(hl_0),"{0}","900328427743372"),hn_0)</f>
        <v>ОВ</v>
      </c>
      <c r="B2196" s="7" t="s">
        <v>621</v>
      </c>
      <c r="C2196" s="8">
        <v>12000</v>
      </c>
      <c r="D2196" s="7" t="s">
        <v>276</v>
      </c>
      <c r="E2196" s="7" t="s">
        <v>20</v>
      </c>
    </row>
    <row r="2197" spans="1:5" ht="12.75">
      <c r="A2197" s="6" t="str">
        <f>HYPERLINK(SUBSTITUTE(T(hl_0),"{0}","900328427739818"),hn_0)</f>
        <v>ОВ</v>
      </c>
      <c r="B2197" s="7" t="s">
        <v>621</v>
      </c>
      <c r="C2197" s="8">
        <v>12000</v>
      </c>
      <c r="D2197" s="7" t="s">
        <v>37</v>
      </c>
      <c r="E2197" s="7" t="s">
        <v>20</v>
      </c>
    </row>
    <row r="2198" spans="1:5" ht="12.75">
      <c r="A2198" s="6" t="str">
        <f>HYPERLINK(SUBSTITUTE(T(hl_0),"{0}","900328427723299"),hn_0)</f>
        <v>ОВ</v>
      </c>
      <c r="B2198" s="7" t="s">
        <v>621</v>
      </c>
      <c r="C2198" s="8">
        <v>12000</v>
      </c>
      <c r="D2198" s="7" t="s">
        <v>223</v>
      </c>
      <c r="E2198" s="7" t="s">
        <v>20</v>
      </c>
    </row>
    <row r="2199" spans="1:5" ht="12.75">
      <c r="A2199" s="6" t="str">
        <f>HYPERLINK(SUBSTITUTE(T(hl_0),"{0}","900328427732934"),hn_0)</f>
        <v>ОВ</v>
      </c>
      <c r="B2199" s="7" t="s">
        <v>621</v>
      </c>
      <c r="C2199" s="8">
        <v>12000</v>
      </c>
      <c r="D2199" s="7" t="s">
        <v>240</v>
      </c>
      <c r="E2199" s="7" t="s">
        <v>20</v>
      </c>
    </row>
    <row r="2200" spans="1:5" ht="12.75">
      <c r="A2200" s="6" t="str">
        <f>HYPERLINK(SUBSTITUTE(T(hl_0),"{0}","900328427713549"),hn_0)</f>
        <v>ОВ</v>
      </c>
      <c r="B2200" s="7" t="s">
        <v>621</v>
      </c>
      <c r="C2200" s="8">
        <v>12000</v>
      </c>
      <c r="D2200" s="7" t="s">
        <v>34</v>
      </c>
      <c r="E2200" s="7" t="s">
        <v>20</v>
      </c>
    </row>
    <row r="2201" spans="1:5" ht="12.75">
      <c r="A2201" s="6" t="str">
        <f>HYPERLINK(SUBSTITUTE(T(hl_0),"{0}","900328427405078"),hn_0)</f>
        <v>ОВ</v>
      </c>
      <c r="B2201" s="7" t="s">
        <v>621</v>
      </c>
      <c r="C2201" s="8">
        <v>12000</v>
      </c>
      <c r="D2201" s="7" t="s">
        <v>11</v>
      </c>
      <c r="E2201" s="7" t="s">
        <v>20</v>
      </c>
    </row>
    <row r="2202" spans="1:5" ht="12.75">
      <c r="A2202" s="6" t="str">
        <f>HYPERLINK(SUBSTITUTE(T(hl_0),"{0}","900328427405086"),hn_0)</f>
        <v>ОВ</v>
      </c>
      <c r="B2202" s="7" t="s">
        <v>621</v>
      </c>
      <c r="C2202" s="8">
        <v>12000</v>
      </c>
      <c r="D2202" s="7" t="s">
        <v>18</v>
      </c>
      <c r="E2202" s="7" t="s">
        <v>20</v>
      </c>
    </row>
    <row r="2203" spans="1:5" ht="12.75">
      <c r="A2203" s="6" t="str">
        <f>HYPERLINK(SUBSTITUTE(T(hl_0),"{0}","900328427405099"),hn_0)</f>
        <v>ОВ</v>
      </c>
      <c r="B2203" s="7" t="s">
        <v>621</v>
      </c>
      <c r="C2203" s="8">
        <v>12000</v>
      </c>
      <c r="D2203" s="7" t="s">
        <v>18</v>
      </c>
      <c r="E2203" s="7" t="s">
        <v>20</v>
      </c>
    </row>
    <row r="2204" spans="1:5" ht="12.75">
      <c r="A2204" s="6" t="str">
        <f>HYPERLINK(SUBSTITUTE(T(hl_0),"{0}","900328427594323"),hn_0)</f>
        <v>ОВ</v>
      </c>
      <c r="B2204" s="7" t="s">
        <v>621</v>
      </c>
      <c r="C2204" s="8">
        <v>12000</v>
      </c>
      <c r="D2204" s="7" t="s">
        <v>16</v>
      </c>
      <c r="E2204" s="7" t="s">
        <v>20</v>
      </c>
    </row>
    <row r="2205" spans="1:5" ht="12.75">
      <c r="A2205" s="6" t="str">
        <f>HYPERLINK(SUBSTITUTE(T(hl_0),"{0}","900328427580170"),hn_0)</f>
        <v>ОВ</v>
      </c>
      <c r="B2205" s="7" t="s">
        <v>621</v>
      </c>
      <c r="C2205" s="8">
        <v>12000</v>
      </c>
      <c r="D2205" s="7" t="s">
        <v>14</v>
      </c>
      <c r="E2205" s="7" t="s">
        <v>20</v>
      </c>
    </row>
    <row r="2206" spans="1:5" ht="12.75">
      <c r="A2206" s="6" t="str">
        <f>HYPERLINK(SUBSTITUTE(T(hl_0),"{0}","900328427599022"),hn_0)</f>
        <v>ОВ</v>
      </c>
      <c r="B2206" s="7" t="s">
        <v>621</v>
      </c>
      <c r="C2206" s="8">
        <v>12000</v>
      </c>
      <c r="D2206" s="7" t="s">
        <v>16</v>
      </c>
      <c r="E2206" s="7" t="s">
        <v>20</v>
      </c>
    </row>
    <row r="2207" spans="1:5" ht="12.75">
      <c r="A2207" s="6" t="str">
        <f>HYPERLINK(SUBSTITUTE(T(hl_0),"{0}","900328427728555"),hn_0)</f>
        <v>ОВ</v>
      </c>
      <c r="B2207" s="7" t="s">
        <v>621</v>
      </c>
      <c r="C2207" s="8">
        <v>12000</v>
      </c>
      <c r="D2207" s="7" t="s">
        <v>42</v>
      </c>
      <c r="E2207" s="7" t="s">
        <v>20</v>
      </c>
    </row>
    <row r="2208" spans="1:5" ht="12.75">
      <c r="A2208" s="6" t="str">
        <f>HYPERLINK(SUBSTITUTE(T(hl_0),"{0}","900328427757214"),hn_0)</f>
        <v>ОВ</v>
      </c>
      <c r="B2208" s="7" t="s">
        <v>621</v>
      </c>
      <c r="C2208" s="8">
        <v>12000</v>
      </c>
      <c r="D2208" s="7" t="s">
        <v>206</v>
      </c>
      <c r="E2208" s="7" t="s">
        <v>20</v>
      </c>
    </row>
    <row r="2209" spans="1:5" ht="12.75">
      <c r="A2209" s="6" t="str">
        <f>HYPERLINK(SUBSTITUTE(T(hl_0),"{0}","900328427688948"),hn_0)</f>
        <v>ОВ</v>
      </c>
      <c r="B2209" s="7" t="s">
        <v>621</v>
      </c>
      <c r="C2209" s="8">
        <v>12000</v>
      </c>
      <c r="D2209" s="7" t="s">
        <v>44</v>
      </c>
      <c r="E2209" s="7" t="s">
        <v>20</v>
      </c>
    </row>
    <row r="2210" spans="1:5" ht="12.75">
      <c r="A2210" s="6" t="str">
        <f>HYPERLINK(SUBSTITUTE(T(hl_0),"{0}","900328427718200"),hn_0)</f>
        <v>ОВ</v>
      </c>
      <c r="B2210" s="7" t="s">
        <v>621</v>
      </c>
      <c r="C2210" s="8">
        <v>12000</v>
      </c>
      <c r="D2210" s="7" t="s">
        <v>36</v>
      </c>
      <c r="E2210" s="7" t="s">
        <v>20</v>
      </c>
    </row>
    <row r="2211" spans="1:5" ht="12.75">
      <c r="A2211" s="6" t="str">
        <f>HYPERLINK(SUBSTITUTE(T(hl_0),"{0}","900328427031119"),hn_0)</f>
        <v>ОВ</v>
      </c>
      <c r="B2211" s="7" t="s">
        <v>621</v>
      </c>
      <c r="C2211" s="8">
        <v>12000</v>
      </c>
      <c r="D2211" s="7" t="s">
        <v>11</v>
      </c>
      <c r="E2211" s="7" t="s">
        <v>20</v>
      </c>
    </row>
    <row r="2212" spans="1:5" ht="12.75">
      <c r="A2212" s="6" t="str">
        <f>HYPERLINK(SUBSTITUTE(T(hl_0),"{0}","900328427574395"),hn_0)</f>
        <v>ОВ</v>
      </c>
      <c r="B2212" s="7" t="s">
        <v>621</v>
      </c>
      <c r="C2212" s="8">
        <v>12000</v>
      </c>
      <c r="D2212" s="7" t="s">
        <v>14</v>
      </c>
      <c r="E2212" s="7" t="s">
        <v>20</v>
      </c>
    </row>
    <row r="2213" spans="1:5" ht="12.75">
      <c r="A2213" s="6" t="str">
        <f>HYPERLINK(SUBSTITUTE(T(hl_0),"{0}","900328427683004"),hn_0)</f>
        <v>ОВ</v>
      </c>
      <c r="B2213" s="7" t="s">
        <v>621</v>
      </c>
      <c r="C2213" s="8">
        <v>12000</v>
      </c>
      <c r="D2213" s="7" t="s">
        <v>237</v>
      </c>
      <c r="E2213" s="7" t="s">
        <v>20</v>
      </c>
    </row>
    <row r="2214" spans="1:5" ht="12.75">
      <c r="A2214" s="6" t="str">
        <f>HYPERLINK(SUBSTITUTE(T(hl_0),"{0}","900328427676536"),hn_0)</f>
        <v>ОВ</v>
      </c>
      <c r="B2214" s="7" t="s">
        <v>621</v>
      </c>
      <c r="C2214" s="8">
        <v>12000</v>
      </c>
      <c r="D2214" s="7" t="s">
        <v>57</v>
      </c>
      <c r="E2214" s="7" t="s">
        <v>20</v>
      </c>
    </row>
    <row r="2215" spans="1:5" ht="25.5">
      <c r="A2215" s="6" t="str">
        <f>HYPERLINK(SUBSTITUTE(T(hl_0),"{0}","320332729255113"),hn_0)</f>
        <v>ОВ</v>
      </c>
      <c r="B2215" s="7" t="s">
        <v>622</v>
      </c>
      <c r="C2215" s="8">
        <v>7000</v>
      </c>
      <c r="D2215" s="7" t="s">
        <v>16</v>
      </c>
      <c r="E2215" s="7" t="s">
        <v>17</v>
      </c>
    </row>
    <row r="2216" spans="1:5" ht="25.5">
      <c r="A2216" s="6" t="str">
        <f>HYPERLINK(SUBSTITUTE(T(hl_0),"{0}","321332652065860"),hn_0)</f>
        <v>ОВ</v>
      </c>
      <c r="B2216" s="7" t="s">
        <v>623</v>
      </c>
      <c r="C2216" s="8">
        <v>6000</v>
      </c>
      <c r="D2216" s="7" t="s">
        <v>624</v>
      </c>
      <c r="E2216" s="7" t="s">
        <v>19</v>
      </c>
    </row>
    <row r="2217" spans="1:5" ht="25.5">
      <c r="A2217" s="6" t="str">
        <f>HYPERLINK(SUBSTITUTE(T(hl_0),"{0}","321332652065860"),hn_0)</f>
        <v>ОВ</v>
      </c>
      <c r="B2217" s="7" t="s">
        <v>623</v>
      </c>
      <c r="C2217" s="8">
        <v>6000</v>
      </c>
      <c r="D2217" s="7" t="s">
        <v>624</v>
      </c>
      <c r="E2217" s="7" t="s">
        <v>19</v>
      </c>
    </row>
    <row r="2218" spans="1:5" ht="25.5">
      <c r="A2218" s="6" t="str">
        <f>HYPERLINK(SUBSTITUTE(T(hl_0),"{0}","321332652065860"),hn_0)</f>
        <v>ОВ</v>
      </c>
      <c r="B2218" s="7" t="s">
        <v>623</v>
      </c>
      <c r="C2218" s="8">
        <v>6000</v>
      </c>
      <c r="D2218" s="7" t="s">
        <v>624</v>
      </c>
      <c r="E2218" s="7" t="s">
        <v>19</v>
      </c>
    </row>
    <row r="2219" spans="1:5" ht="25.5">
      <c r="A2219" s="6" t="str">
        <f>HYPERLINK(SUBSTITUTE(T(hl_0),"{0}","335332825829658"),hn_0)</f>
        <v>ОВ</v>
      </c>
      <c r="B2219" s="7" t="s">
        <v>623</v>
      </c>
      <c r="C2219" s="8">
        <v>6950</v>
      </c>
      <c r="D2219" s="7" t="s">
        <v>625</v>
      </c>
      <c r="E2219" s="7" t="s">
        <v>277</v>
      </c>
    </row>
    <row r="2220" spans="1:5" ht="12.75">
      <c r="A2220" s="6" t="str">
        <f>HYPERLINK(SUBSTITUTE(T(hl_0),"{0}","900325921156315"),hn_0)</f>
        <v>ОВ</v>
      </c>
      <c r="B2220" s="7" t="s">
        <v>626</v>
      </c>
      <c r="C2220" s="8">
        <v>6000</v>
      </c>
      <c r="D2220" s="7" t="s">
        <v>11</v>
      </c>
      <c r="E2220" s="7" t="s">
        <v>20</v>
      </c>
    </row>
    <row r="2221" spans="1:5" ht="25.5">
      <c r="A2221" s="6" t="str">
        <f>HYPERLINK(SUBSTITUTE(T(hl_0),"{0}","329326671496206"),hn_0)</f>
        <v>ОВ</v>
      </c>
      <c r="B2221" s="7" t="s">
        <v>627</v>
      </c>
      <c r="C2221" s="8">
        <v>6000</v>
      </c>
      <c r="D2221" s="7" t="s">
        <v>440</v>
      </c>
      <c r="E2221" s="7" t="s">
        <v>43</v>
      </c>
    </row>
    <row r="2222" spans="1:5" ht="12.75">
      <c r="A2222" s="6" t="str">
        <f>HYPERLINK(SUBSTITUTE(T(hl_0),"{0}","319332651986984"),hn_0)</f>
        <v>ОВ</v>
      </c>
      <c r="B2222" s="7" t="s">
        <v>628</v>
      </c>
      <c r="C2222" s="8">
        <v>2500</v>
      </c>
      <c r="D2222" s="7" t="s">
        <v>14</v>
      </c>
      <c r="E2222" s="7" t="s">
        <v>15</v>
      </c>
    </row>
    <row r="2223" spans="1:5" ht="12.75">
      <c r="A2223" s="6" t="str">
        <f>HYPERLINK(SUBSTITUTE(T(hl_0),"{0}","321332652017381"),hn_0)</f>
        <v>ОВ</v>
      </c>
      <c r="B2223" s="7" t="s">
        <v>628</v>
      </c>
      <c r="C2223" s="8">
        <v>6000</v>
      </c>
      <c r="D2223" s="7" t="s">
        <v>629</v>
      </c>
      <c r="E2223" s="7" t="s">
        <v>19</v>
      </c>
    </row>
    <row r="2224" spans="1:5" ht="12.75">
      <c r="A2224" s="6" t="str">
        <f>HYPERLINK(SUBSTITUTE(T(hl_0),"{0}","321332652017381"),hn_0)</f>
        <v>ОВ</v>
      </c>
      <c r="B2224" s="7" t="s">
        <v>628</v>
      </c>
      <c r="C2224" s="8">
        <v>6000</v>
      </c>
      <c r="D2224" s="7" t="s">
        <v>629</v>
      </c>
      <c r="E2224" s="7" t="s">
        <v>19</v>
      </c>
    </row>
    <row r="2225" spans="1:5" ht="12.75">
      <c r="A2225" s="6" t="str">
        <f>HYPERLINK(SUBSTITUTE(T(hl_0),"{0}","321332652017381"),hn_0)</f>
        <v>ОВ</v>
      </c>
      <c r="B2225" s="7" t="s">
        <v>628</v>
      </c>
      <c r="C2225" s="8">
        <v>6000</v>
      </c>
      <c r="D2225" s="7" t="s">
        <v>629</v>
      </c>
      <c r="E2225" s="7" t="s">
        <v>19</v>
      </c>
    </row>
    <row r="2226" spans="1:5" ht="12.75">
      <c r="A2226" s="6" t="str">
        <f>HYPERLINK(SUBSTITUTE(T(hl_0),"{0}","321332652037838"),hn_0)</f>
        <v>ОВ</v>
      </c>
      <c r="B2226" s="7" t="s">
        <v>628</v>
      </c>
      <c r="C2226" s="8">
        <v>6000</v>
      </c>
      <c r="D2226" s="7" t="s">
        <v>629</v>
      </c>
      <c r="E2226" s="7" t="s">
        <v>19</v>
      </c>
    </row>
    <row r="2227" spans="1:5" ht="12.75">
      <c r="A2227" s="6" t="str">
        <f>HYPERLINK(SUBSTITUTE(T(hl_0),"{0}","321332652037838"),hn_0)</f>
        <v>ОВ</v>
      </c>
      <c r="B2227" s="7" t="s">
        <v>628</v>
      </c>
      <c r="C2227" s="8">
        <v>6000</v>
      </c>
      <c r="D2227" s="7" t="s">
        <v>629</v>
      </c>
      <c r="E2227" s="7" t="s">
        <v>19</v>
      </c>
    </row>
    <row r="2228" spans="1:5" ht="12.75">
      <c r="A2228" s="6" t="str">
        <f>HYPERLINK(SUBSTITUTE(T(hl_0),"{0}","321332652037838"),hn_0)</f>
        <v>ОВ</v>
      </c>
      <c r="B2228" s="7" t="s">
        <v>628</v>
      </c>
      <c r="C2228" s="8">
        <v>6000</v>
      </c>
      <c r="D2228" s="7" t="s">
        <v>629</v>
      </c>
      <c r="E2228" s="7" t="s">
        <v>19</v>
      </c>
    </row>
    <row r="2229" spans="1:5" ht="12.75">
      <c r="A2229" s="6" t="str">
        <f>HYPERLINK(SUBSTITUTE(T(hl_0),"{0}","321332555479440"),hn_0)</f>
        <v>ОВ</v>
      </c>
      <c r="B2229" s="7" t="s">
        <v>628</v>
      </c>
      <c r="C2229" s="8">
        <v>7000</v>
      </c>
      <c r="D2229" s="7" t="s">
        <v>350</v>
      </c>
      <c r="E2229" s="7" t="s">
        <v>19</v>
      </c>
    </row>
    <row r="2230" spans="1:5" ht="12.75">
      <c r="A2230" s="6" t="str">
        <f>HYPERLINK(SUBSTITUTE(T(hl_0),"{0}","321327620078744"),hn_0)</f>
        <v>ОВ</v>
      </c>
      <c r="B2230" s="7" t="s">
        <v>628</v>
      </c>
      <c r="C2230" s="8">
        <v>7000</v>
      </c>
      <c r="D2230" s="7" t="s">
        <v>350</v>
      </c>
      <c r="E2230" s="7" t="s">
        <v>19</v>
      </c>
    </row>
    <row r="2231" spans="1:5" ht="12.75">
      <c r="A2231" s="6" t="str">
        <f>HYPERLINK(SUBSTITUTE(T(hl_0),"{0}","324332503471519"),hn_0)</f>
        <v>ОВ</v>
      </c>
      <c r="B2231" s="7" t="s">
        <v>628</v>
      </c>
      <c r="C2231" s="8">
        <v>5000</v>
      </c>
      <c r="D2231" s="7" t="s">
        <v>630</v>
      </c>
      <c r="E2231" s="7" t="s">
        <v>190</v>
      </c>
    </row>
    <row r="2232" spans="1:5" ht="12.75">
      <c r="A2232" s="6" t="str">
        <f>HYPERLINK(SUBSTITUTE(T(hl_0),"{0}","327332417759001"),hn_0)</f>
        <v>ОВ</v>
      </c>
      <c r="B2232" s="7" t="s">
        <v>628</v>
      </c>
      <c r="C2232" s="8">
        <v>5000</v>
      </c>
      <c r="D2232" s="7" t="s">
        <v>631</v>
      </c>
      <c r="E2232" s="7" t="s">
        <v>12</v>
      </c>
    </row>
    <row r="2233" spans="1:5" ht="12.75">
      <c r="A2233" s="6" t="str">
        <f>HYPERLINK(SUBSTITUTE(T(hl_0),"{0}","327332078169127"),hn_0)</f>
        <v>ОВ</v>
      </c>
      <c r="B2233" s="7" t="s">
        <v>628</v>
      </c>
      <c r="C2233" s="8">
        <v>7000</v>
      </c>
      <c r="D2233" s="7" t="s">
        <v>632</v>
      </c>
      <c r="E2233" s="7" t="s">
        <v>12</v>
      </c>
    </row>
    <row r="2234" spans="1:5" ht="12.75">
      <c r="A2234" s="6" t="str">
        <f>HYPERLINK(SUBSTITUTE(T(hl_0),"{0}","327332079154385"),hn_0)</f>
        <v>ОВ</v>
      </c>
      <c r="B2234" s="7" t="s">
        <v>628</v>
      </c>
      <c r="C2234" s="8">
        <v>5000</v>
      </c>
      <c r="D2234" s="7" t="s">
        <v>191</v>
      </c>
      <c r="E2234" s="7" t="s">
        <v>12</v>
      </c>
    </row>
    <row r="2235" spans="1:5" ht="12.75">
      <c r="A2235" s="6" t="str">
        <f>HYPERLINK(SUBSTITUTE(T(hl_0),"{0}","329332583496550"),hn_0)</f>
        <v>ОВ</v>
      </c>
      <c r="B2235" s="7" t="s">
        <v>628</v>
      </c>
      <c r="C2235" s="8">
        <v>6500</v>
      </c>
      <c r="D2235" s="7" t="s">
        <v>42</v>
      </c>
      <c r="E2235" s="7" t="s">
        <v>43</v>
      </c>
    </row>
    <row r="2236" spans="1:5" ht="12.75">
      <c r="A2236" s="6" t="str">
        <f>HYPERLINK(SUBSTITUTE(T(hl_0),"{0}","329332679602813"),hn_0)</f>
        <v>ОВ</v>
      </c>
      <c r="B2236" s="7" t="s">
        <v>628</v>
      </c>
      <c r="C2236" s="8">
        <v>6500</v>
      </c>
      <c r="D2236" s="7" t="s">
        <v>633</v>
      </c>
      <c r="E2236" s="7" t="s">
        <v>43</v>
      </c>
    </row>
    <row r="2237" spans="1:5" ht="12.75">
      <c r="A2237" s="6" t="str">
        <f>HYPERLINK(SUBSTITUTE(T(hl_0),"{0}","329332529660433"),hn_0)</f>
        <v>ОВ</v>
      </c>
      <c r="B2237" s="7" t="s">
        <v>628</v>
      </c>
      <c r="C2237" s="8">
        <v>6500</v>
      </c>
      <c r="D2237" s="7" t="s">
        <v>634</v>
      </c>
      <c r="E2237" s="7" t="s">
        <v>43</v>
      </c>
    </row>
    <row r="2238" spans="1:5" ht="12.75">
      <c r="A2238" s="6" t="str">
        <f>HYPERLINK(SUBSTITUTE(T(hl_0),"{0}","329332531477528"),hn_0)</f>
        <v>ОВ</v>
      </c>
      <c r="B2238" s="7" t="s">
        <v>628</v>
      </c>
      <c r="C2238" s="8">
        <v>6500</v>
      </c>
      <c r="D2238" s="7" t="s">
        <v>42</v>
      </c>
      <c r="E2238" s="7" t="s">
        <v>43</v>
      </c>
    </row>
    <row r="2239" spans="1:5" ht="12.75">
      <c r="A2239" s="6" t="str">
        <f>HYPERLINK(SUBSTITUTE(T(hl_0),"{0}","329332531478257"),hn_0)</f>
        <v>ОВ</v>
      </c>
      <c r="B2239" s="7" t="s">
        <v>628</v>
      </c>
      <c r="C2239" s="8">
        <v>6500</v>
      </c>
      <c r="D2239" s="7" t="s">
        <v>42</v>
      </c>
      <c r="E2239" s="7" t="s">
        <v>43</v>
      </c>
    </row>
    <row r="2240" spans="1:5" ht="12.75">
      <c r="A2240" s="6" t="str">
        <f>HYPERLINK(SUBSTITUTE(T(hl_0),"{0}","330332343208764"),hn_0)</f>
        <v>ОВ</v>
      </c>
      <c r="B2240" s="7" t="s">
        <v>628</v>
      </c>
      <c r="C2240" s="8">
        <v>6000</v>
      </c>
      <c r="D2240" s="7" t="s">
        <v>44</v>
      </c>
      <c r="E2240" s="7" t="s">
        <v>29</v>
      </c>
    </row>
    <row r="2241" spans="1:5" ht="12.75">
      <c r="A2241" s="6" t="str">
        <f>HYPERLINK(SUBSTITUTE(T(hl_0),"{0}","330332342998477"),hn_0)</f>
        <v>ОВ</v>
      </c>
      <c r="B2241" s="7" t="s">
        <v>628</v>
      </c>
      <c r="C2241" s="8">
        <v>6000</v>
      </c>
      <c r="D2241" s="7" t="s">
        <v>635</v>
      </c>
      <c r="E2241" s="7" t="s">
        <v>29</v>
      </c>
    </row>
    <row r="2242" spans="1:5" ht="12.75">
      <c r="A2242" s="6" t="str">
        <f>HYPERLINK(SUBSTITUTE(T(hl_0),"{0}","330332343008500"),hn_0)</f>
        <v>ОВ</v>
      </c>
      <c r="B2242" s="7" t="s">
        <v>628</v>
      </c>
      <c r="C2242" s="8">
        <v>6000</v>
      </c>
      <c r="D2242" s="7" t="s">
        <v>635</v>
      </c>
      <c r="E2242" s="7" t="s">
        <v>29</v>
      </c>
    </row>
    <row r="2243" spans="1:5" ht="12.75">
      <c r="A2243" s="6" t="str">
        <f>HYPERLINK(SUBSTITUTE(T(hl_0),"{0}","331331844009757"),hn_0)</f>
        <v>ОВ</v>
      </c>
      <c r="B2243" s="7" t="s">
        <v>628</v>
      </c>
      <c r="C2243" s="8">
        <v>5000</v>
      </c>
      <c r="D2243" s="7" t="s">
        <v>494</v>
      </c>
      <c r="E2243" s="7" t="s">
        <v>195</v>
      </c>
    </row>
    <row r="2244" spans="1:5" ht="12.75">
      <c r="A2244" s="6" t="str">
        <f>HYPERLINK(SUBSTITUTE(T(hl_0),"{0}","332332554738927"),hn_0)</f>
        <v>ОВ</v>
      </c>
      <c r="B2244" s="7" t="s">
        <v>628</v>
      </c>
      <c r="C2244" s="8">
        <v>7000</v>
      </c>
      <c r="D2244" s="7" t="s">
        <v>636</v>
      </c>
      <c r="E2244" s="7" t="s">
        <v>31</v>
      </c>
    </row>
    <row r="2245" spans="1:5" ht="12.75">
      <c r="A2245" s="6" t="str">
        <f>HYPERLINK(SUBSTITUTE(T(hl_0),"{0}","900332220464822"),hn_0)</f>
        <v>ОВ</v>
      </c>
      <c r="B2245" s="7" t="s">
        <v>637</v>
      </c>
      <c r="C2245" s="8">
        <v>5000</v>
      </c>
      <c r="D2245" s="7" t="s">
        <v>11</v>
      </c>
      <c r="E2245" s="7" t="s">
        <v>20</v>
      </c>
    </row>
    <row r="2246" spans="1:5" ht="12.75">
      <c r="A2246" s="6" t="str">
        <f>HYPERLINK(SUBSTITUTE(T(hl_0),"{0}","900331029163814"),hn_0)</f>
        <v>ОВ</v>
      </c>
      <c r="B2246" s="7" t="s">
        <v>637</v>
      </c>
      <c r="C2246" s="8">
        <v>5700</v>
      </c>
      <c r="D2246" s="7" t="s">
        <v>11</v>
      </c>
      <c r="E2246" s="7" t="s">
        <v>20</v>
      </c>
    </row>
    <row r="2247" spans="1:5" ht="12.75">
      <c r="A2247" s="6" t="str">
        <f>HYPERLINK(SUBSTITUTE(T(hl_0),"{0}","330331874096090"),hn_0)</f>
        <v>ОВ</v>
      </c>
      <c r="B2247" s="7" t="s">
        <v>638</v>
      </c>
      <c r="C2247" s="8">
        <v>10000</v>
      </c>
      <c r="D2247" s="7" t="s">
        <v>44</v>
      </c>
      <c r="E2247" s="7" t="s">
        <v>29</v>
      </c>
    </row>
  </sheetData>
  <sheetProtection/>
  <autoFilter ref="B1:E2248"/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28125" style="0" bestFit="1" customWidth="1"/>
    <col min="2" max="2" width="12.28125" style="0" bestFit="1" customWidth="1"/>
    <col min="3" max="3" width="48.7109375" style="0" bestFit="1" customWidth="1"/>
    <col min="4" max="4" width="16.140625" style="0" bestFit="1" customWidth="1"/>
  </cols>
  <sheetData>
    <row r="1" spans="1:4" ht="12.75">
      <c r="A1" s="1" t="s">
        <v>1</v>
      </c>
      <c r="B1" s="1" t="s">
        <v>0</v>
      </c>
      <c r="C1" s="1" t="s">
        <v>2</v>
      </c>
      <c r="D1" s="1" t="s">
        <v>3</v>
      </c>
    </row>
    <row r="2" spans="1:3" ht="12.75">
      <c r="A2" s="9" t="s">
        <v>639</v>
      </c>
      <c r="B2" s="10" t="s">
        <v>640</v>
      </c>
      <c r="C2" s="7" t="s">
        <v>641</v>
      </c>
    </row>
    <row r="3" spans="1:3" ht="25.5">
      <c r="A3" s="9" t="s">
        <v>642</v>
      </c>
      <c r="B3" s="10" t="s">
        <v>640</v>
      </c>
      <c r="C3" s="7" t="s">
        <v>643</v>
      </c>
    </row>
  </sheetData>
  <sheetProtection/>
  <printOptions/>
  <pageMargins left="0.984251968503937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2020-09-07T08:48:51Z</dcterms:modified>
  <cp:category/>
  <cp:version/>
  <cp:contentType/>
  <cp:contentStatus/>
</cp:coreProperties>
</file>